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info\Downloads\ntvx-master (1)\ntvx-master\Excel\"/>
    </mc:Choice>
  </mc:AlternateContent>
  <xr:revisionPtr revIDLastSave="0" documentId="8_{AAF5CDF4-8EAC-4218-9317-EB9B343E625D}" xr6:coauthVersionLast="47" xr6:coauthVersionMax="47" xr10:uidLastSave="{00000000-0000-0000-0000-000000000000}"/>
  <bookViews>
    <workbookView xWindow="735" yWindow="735" windowWidth="18000" windowHeight="9510" activeTab="1" xr2:uid="{832E13E4-34C5-42A7-BA5A-2B2EDD18E8DF}"/>
  </bookViews>
  <sheets>
    <sheet name="FinRatios 10" sheetId="11" r:id="rId1"/>
    <sheet name="SellerCF 14" sheetId="15" r:id="rId2"/>
    <sheet name="EarnOut 13" sheetId="14" r:id="rId3"/>
    <sheet name="25-Yr Val 12" sheetId="13" r:id="rId4"/>
    <sheet name="Depr 11" sheetId="12" r:id="rId5"/>
    <sheet name="CF Proj 5" sheetId="6" r:id="rId6"/>
    <sheet name="REFinancials 9" sheetId="10" r:id="rId7"/>
    <sheet name="PrAllocation 8" sheetId="9" r:id="rId8"/>
    <sheet name="ROI 7" sheetId="8" r:id="rId9"/>
    <sheet name="CF Stmt 6" sheetId="7" r:id="rId10"/>
    <sheet name="Sheet1" sheetId="1" r:id="rId11"/>
    <sheet name="BalanceSheet 4" sheetId="5" r:id="rId12"/>
    <sheet name="Income 3" sheetId="4" r:id="rId13"/>
    <sheet name="Inputs 2" sheetId="3" r:id="rId14"/>
    <sheet name="Valuation 1" sheetId="2" r:id="rId15"/>
  </sheets>
  <externalReferences>
    <externalReference r:id="rId16"/>
    <externalReference r:id="rId17"/>
  </externalReferences>
  <definedNames>
    <definedName name="AFAP" localSheetId="3">'25-Yr Val 12'!#REF!</definedName>
    <definedName name="AFAP" localSheetId="0">'FinRatios 10'!#REF!</definedName>
    <definedName name="AFAP">[1]Blank42!$A$476</definedName>
    <definedName name="AFAPSelection" localSheetId="3">'25-Yr Val 12'!#REF!</definedName>
    <definedName name="AFAPSelection" localSheetId="0">'FinRatios 10'!#REF!</definedName>
    <definedName name="AFAPSelection">[1]Blank42!$A$480</definedName>
    <definedName name="AFAR" localSheetId="3">'25-Yr Val 12'!#REF!</definedName>
    <definedName name="AFAR" localSheetId="0">'FinRatios 10'!#REF!</definedName>
    <definedName name="AFAR">[1]Blank42!$A$458</definedName>
    <definedName name="AFARSelection" localSheetId="3">'25-Yr Val 12'!#REF!</definedName>
    <definedName name="AFARSelection" localSheetId="0">'FinRatios 10'!#REF!</definedName>
    <definedName name="AFARSelection">[1]Blank42!$A$462</definedName>
    <definedName name="AFCapE" localSheetId="3">'25-Yr Val 12'!#REF!</definedName>
    <definedName name="AFCapE" localSheetId="0">'FinRatios 10'!#REF!</definedName>
    <definedName name="AFCapE">[1]Blank42!$A$455</definedName>
    <definedName name="AFCapESelection" localSheetId="3">'25-Yr Val 12'!#REF!</definedName>
    <definedName name="AFCapESelection" localSheetId="0">'FinRatios 10'!#REF!</definedName>
    <definedName name="AFCapESelection">[1]Blank42!$A$456</definedName>
    <definedName name="AFEBITDA" localSheetId="3">'25-Yr Val 12'!#REF!</definedName>
    <definedName name="AFEBITDA" localSheetId="0">'FinRatios 10'!#REF!</definedName>
    <definedName name="AFEBITDA">[1]Blank42!$A$450</definedName>
    <definedName name="AFEBITDASelection" localSheetId="3">'25-Yr Val 12'!#REF!</definedName>
    <definedName name="AFEBITDASelection" localSheetId="0">'FinRatios 10'!#REF!</definedName>
    <definedName name="AFEBITDASelection">[1]Blank42!$A$451</definedName>
    <definedName name="AFEquity" localSheetId="3">'25-Yr Val 12'!#REF!</definedName>
    <definedName name="AFEquity" localSheetId="0">'FinRatios 10'!#REF!</definedName>
    <definedName name="AFEquity">[1]Blank42!$A$473</definedName>
    <definedName name="AFGapBalloon" localSheetId="3">'25-Yr Val 12'!#REF!</definedName>
    <definedName name="AFGapBalloon" localSheetId="0">'FinRatios 10'!#REF!</definedName>
    <definedName name="AFGapBalloon">[1]Blank42!$N$448</definedName>
    <definedName name="AFGapDeferral" localSheetId="3">'25-Yr Val 12'!#REF!</definedName>
    <definedName name="AFGapDeferral" localSheetId="0">'FinRatios 10'!#REF!</definedName>
    <definedName name="AFGapDeferral">[1]Blank42!$N$446</definedName>
    <definedName name="AFInv" localSheetId="3">'25-Yr Val 12'!#REF!</definedName>
    <definedName name="AFInv" localSheetId="0">'FinRatios 10'!#REF!</definedName>
    <definedName name="AFInv">[1]Blank42!$A$465</definedName>
    <definedName name="AFInvSelection" localSheetId="3">'25-Yr Val 12'!#REF!</definedName>
    <definedName name="AFInvSelection" localSheetId="0">'FinRatios 10'!#REF!</definedName>
    <definedName name="AFInvSelection">[1]Blank42!$A$469</definedName>
    <definedName name="AFMezz" localSheetId="3">'25-Yr Val 12'!#REF!</definedName>
    <definedName name="AFMezz" localSheetId="0">'FinRatios 10'!#REF!</definedName>
    <definedName name="AFMezz">[1]Blank42!$N$451</definedName>
    <definedName name="AFOALoan" localSheetId="3">'25-Yr Val 12'!#REF!</definedName>
    <definedName name="AFOALoan" localSheetId="0">'FinRatios 10'!#REF!</definedName>
    <definedName name="AFOALoan">[1]Blank42!$N$443</definedName>
    <definedName name="AFRE" localSheetId="3">'25-Yr Val 12'!#REF!</definedName>
    <definedName name="AFRE" localSheetId="0">'FinRatios 10'!#REF!</definedName>
    <definedName name="AFRE">[1]Blank42!$N$453</definedName>
    <definedName name="AFSales" localSheetId="3">'25-Yr Val 12'!#REF!</definedName>
    <definedName name="AFSales" localSheetId="0">'FinRatios 10'!#REF!</definedName>
    <definedName name="AFSales">[1]Blank42!$A$445</definedName>
    <definedName name="AFSalesSelection" localSheetId="3">'25-Yr Val 12'!#REF!</definedName>
    <definedName name="AFSalesSelection" localSheetId="0">'FinRatios 10'!#REF!</definedName>
    <definedName name="AFSalesSelection">[1]Blank42!$A$446</definedName>
    <definedName name="AGGapBalloon" localSheetId="3">'25-Yr Val 12'!#REF!</definedName>
    <definedName name="AGGapBalloon" localSheetId="0">'FinRatios 10'!#REF!</definedName>
    <definedName name="anscount" hidden="1">9</definedName>
    <definedName name="AssetStock" localSheetId="3">'25-Yr Val 12'!#REF!</definedName>
    <definedName name="AssetStock" localSheetId="0">'FinRatios 10'!#REF!</definedName>
    <definedName name="AssetStock">[1]Blank42!$M$23</definedName>
    <definedName name="AutoExitM" localSheetId="3">'25-Yr Val 12'!#REF!</definedName>
    <definedName name="AutoExitM" localSheetId="0">'FinRatios 10'!#REF!</definedName>
    <definedName name="AutoExitM" localSheetId="6">[2]Blank42!#REF!</definedName>
    <definedName name="AutoExitM">[1]Blank42!#REF!</definedName>
    <definedName name="BVX" localSheetId="3">'25-Yr Val 12'!#REF!</definedName>
    <definedName name="BVX" localSheetId="0">'FinRatios 10'!#REF!</definedName>
    <definedName name="Deal25On">[1]Blank42!$N$717</definedName>
    <definedName name="ExitM" localSheetId="3">'25-Yr Val 12'!#REF!</definedName>
    <definedName name="ExitM" localSheetId="0">'FinRatios 10'!#REF!</definedName>
    <definedName name="ExitM">[1]Blank42!$O$31</definedName>
    <definedName name="ExpMezzROI" localSheetId="3">'25-Yr Val 12'!#REF!</definedName>
    <definedName name="ExpMezzROI" localSheetId="0">'FinRatios 10'!#REF!</definedName>
    <definedName name="ExpMezzROI">[1]Blank42!$E$259</definedName>
    <definedName name="ExpROI">[1]Blank42!$M$21</definedName>
    <definedName name="ISCapEx" localSheetId="3">'25-Yr Val 12'!#REF!</definedName>
    <definedName name="ISCapEx" localSheetId="0">'FinRatios 10'!#REF!</definedName>
    <definedName name="ISCapEx">[1]Blank42!$C$638</definedName>
    <definedName name="ISConsult" localSheetId="3">'25-Yr Val 12'!#REF!</definedName>
    <definedName name="ISConsult" localSheetId="0">'FinRatios 10'!#REF!</definedName>
    <definedName name="ISConsult">[1]Blank42!$C$645</definedName>
    <definedName name="ISDiv" localSheetId="3">'25-Yr Val 12'!#REF!</definedName>
    <definedName name="ISDiv" localSheetId="0">'FinRatios 10'!#REF!</definedName>
    <definedName name="ISDiv">[1]Blank42!$C$642</definedName>
    <definedName name="ISGapAcc" localSheetId="3">'25-Yr Val 12'!#REF!</definedName>
    <definedName name="ISGapAcc" localSheetId="0">'FinRatios 10'!#REF!</definedName>
    <definedName name="ISGapAcc">[1]Blank42!$C$640</definedName>
    <definedName name="ISGapAmort" localSheetId="3">'25-Yr Val 12'!#REF!</definedName>
    <definedName name="ISGapAmort" localSheetId="0">'FinRatios 10'!#REF!</definedName>
    <definedName name="ISGapAmort">[1]Blank42!$C$630</definedName>
    <definedName name="ISLiqTaxes" localSheetId="3">'25-Yr Val 12'!#REF!</definedName>
    <definedName name="ISLiqTaxes" localSheetId="0">'FinRatios 10'!#REF!</definedName>
    <definedName name="ISLiqTaxes">[1]Blank42!$C$615</definedName>
    <definedName name="ISOAloan" localSheetId="3">'25-Yr Val 12'!#REF!</definedName>
    <definedName name="ISOAloan" localSheetId="0">'FinRatios 10'!#REF!</definedName>
    <definedName name="ISOAloan">[1]Blank42!$C$632</definedName>
    <definedName name="ISOverAdvAmort">[1]Blank42!$C$666</definedName>
    <definedName name="ISOverAdvPymnt">[1]Blank42!$C$1055</definedName>
    <definedName name="ISRevolver" localSheetId="3">'25-Yr Val 12'!#REF!</definedName>
    <definedName name="ISRevolver" localSheetId="0">'FinRatios 10'!#REF!</definedName>
    <definedName name="ISRevolver">[1]Blank42!$C$634</definedName>
    <definedName name="ISSIncome" localSheetId="3">'25-Yr Val 12'!#REF!</definedName>
    <definedName name="ISSIncome" localSheetId="0">'FinRatios 10'!#REF!</definedName>
    <definedName name="ISSIncome">[1]Blank42!$C$613</definedName>
    <definedName name="ISTermAmort">[1]Blank42!$C$660</definedName>
    <definedName name="ISTermloan" localSheetId="3">'25-Yr Val 12'!#REF!</definedName>
    <definedName name="ISTermloan" localSheetId="0">'FinRatios 10'!#REF!</definedName>
    <definedName name="ISTermloan">[1]Blank42!$C$636</definedName>
    <definedName name="limcount" hidden="1">1</definedName>
    <definedName name="Output" localSheetId="3">'25-Yr Val 12'!#REF!</definedName>
    <definedName name="Output" localSheetId="0">'FinRatios 10'!#REF!</definedName>
    <definedName name="Output">[1]Blank42!$A$10</definedName>
    <definedName name="_xlnm.Print_Area" localSheetId="3">'25-Yr Val 12'!$A$1:$N$41</definedName>
    <definedName name="_xlnm.Print_Area" localSheetId="11">'BalanceSheet 4'!$A$1:$N$52</definedName>
    <definedName name="_xlnm.Print_Area" localSheetId="5">'CF Proj 5'!$A$1:$N$56</definedName>
    <definedName name="_xlnm.Print_Area" localSheetId="9">'CF Stmt 6'!$A$1:$N$53</definedName>
    <definedName name="_xlnm.Print_Area" localSheetId="4">'Depr 11'!$A$1:$N$53</definedName>
    <definedName name="_xlnm.Print_Area" localSheetId="2">'EarnOut 13'!$A$1:$N$31</definedName>
    <definedName name="_xlnm.Print_Area" localSheetId="0">'FinRatios 10'!$A$1:$N$59</definedName>
    <definedName name="_xlnm.Print_Area" localSheetId="12">'Income 3'!$A$1:$N$45</definedName>
    <definedName name="_xlnm.Print_Area" localSheetId="13">'Inputs 2'!$A$1:$P$51</definedName>
    <definedName name="_xlnm.Print_Area" localSheetId="7">'PrAllocation 8'!$A$1:$O$20</definedName>
    <definedName name="_xlnm.Print_Area" localSheetId="6">'REFinancials 9'!$A$1:$N$51</definedName>
    <definedName name="_xlnm.Print_Area" localSheetId="8">'ROI 7'!$A$1:$N$42</definedName>
    <definedName name="_xlnm.Print_Area" localSheetId="1">'SellerCF 14'!$A$1:$N$27</definedName>
    <definedName name="_xlnm.Print_Area" localSheetId="14">'Valuation 1'!$A$1:$O$34</definedName>
    <definedName name="SellerNote" localSheetId="3">'25-Yr Val 12'!#REF!</definedName>
    <definedName name="SellerNote" localSheetId="0">'FinRatios 10'!#REF!</definedName>
    <definedName name="SellerNote">[1]Blank42!$E$29</definedName>
    <definedName name="sencount" hidden="1">4</definedName>
    <definedName name="solver_adj" localSheetId="3" hidden="1">'25-Yr Val 12'!#REF!,'25-Yr Val 12'!#REF!,'25-Yr Val 12'!#REF!</definedName>
    <definedName name="solver_adj" localSheetId="0" hidden="1">'FinRatios 10'!#REF!,'FinRatios 10'!#REF!,'FinRatios 10'!#REF!</definedName>
    <definedName name="solver_cvg" localSheetId="3" hidden="1">0.0000001</definedName>
    <definedName name="solver_cvg" localSheetId="0" hidden="1">0.0000001</definedName>
    <definedName name="solver_drv" localSheetId="3" hidden="1">1</definedName>
    <definedName name="solver_drv" localSheetId="0" hidden="1">1</definedName>
    <definedName name="solver_est" localSheetId="3" hidden="1">1</definedName>
    <definedName name="solver_est" localSheetId="0" hidden="1">1</definedName>
    <definedName name="solver_itr" localSheetId="3" hidden="1">32000</definedName>
    <definedName name="solver_itr" localSheetId="0" hidden="1">32000</definedName>
    <definedName name="solver_lhs1" localSheetId="3" hidden="1">'25-Yr Val 12'!#REF!</definedName>
    <definedName name="solver_lhs1" localSheetId="0" hidden="1">'FinRatios 10'!#REF!</definedName>
    <definedName name="solver_lhs10" localSheetId="3" hidden="1">'25-Yr Val 12'!#REF!</definedName>
    <definedName name="solver_lhs10" localSheetId="0" hidden="1">'FinRatios 10'!#REF!</definedName>
    <definedName name="solver_lhs11" localSheetId="3" hidden="1">'25-Yr Val 12'!#REF!</definedName>
    <definedName name="solver_lhs11" localSheetId="0" hidden="1">'FinRatios 10'!#REF!</definedName>
    <definedName name="solver_lhs12" localSheetId="3" hidden="1">'25-Yr Val 12'!#REF!</definedName>
    <definedName name="solver_lhs12" localSheetId="0" hidden="1">'FinRatios 10'!#REF!</definedName>
    <definedName name="solver_lhs13" localSheetId="3" hidden="1">'25-Yr Val 12'!#REF!</definedName>
    <definedName name="solver_lhs13" localSheetId="0" hidden="1">'FinRatios 10'!#REF!</definedName>
    <definedName name="solver_lhs14" localSheetId="3" hidden="1">'25-Yr Val 12'!#REF!</definedName>
    <definedName name="solver_lhs14" localSheetId="0" hidden="1">'FinRatios 10'!#REF!</definedName>
    <definedName name="solver_lhs15" localSheetId="3" hidden="1">'25-Yr Val 12'!#REF!</definedName>
    <definedName name="solver_lhs15" localSheetId="0" hidden="1">'FinRatios 10'!#REF!</definedName>
    <definedName name="solver_lhs16" localSheetId="3" hidden="1">'25-Yr Val 12'!#REF!</definedName>
    <definedName name="solver_lhs16" localSheetId="0" hidden="1">'FinRatios 10'!#REF!</definedName>
    <definedName name="solver_lhs17" localSheetId="3" hidden="1">'25-Yr Val 12'!#REF!</definedName>
    <definedName name="solver_lhs17" localSheetId="0" hidden="1">'FinRatios 10'!#REF!</definedName>
    <definedName name="solver_lhs2" localSheetId="3" hidden="1">'25-Yr Val 12'!#REF!</definedName>
    <definedName name="solver_lhs2" localSheetId="0" hidden="1">'FinRatios 10'!#REF!</definedName>
    <definedName name="solver_lhs3" localSheetId="3" hidden="1">'25-Yr Val 12'!#REF!</definedName>
    <definedName name="solver_lhs3" localSheetId="0" hidden="1">'FinRatios 10'!#REF!</definedName>
    <definedName name="solver_lhs4" localSheetId="3" hidden="1">'25-Yr Val 12'!#REF!</definedName>
    <definedName name="solver_lhs4" localSheetId="0" hidden="1">'FinRatios 10'!#REF!</definedName>
    <definedName name="solver_lhs5" localSheetId="3" hidden="1">'25-Yr Val 12'!#REF!</definedName>
    <definedName name="solver_lhs5" localSheetId="0" hidden="1">'FinRatios 10'!#REF!</definedName>
    <definedName name="solver_lhs6" localSheetId="3" hidden="1">'25-Yr Val 12'!#REF!</definedName>
    <definedName name="solver_lhs6" localSheetId="0" hidden="1">'FinRatios 10'!#REF!</definedName>
    <definedName name="solver_lhs7" localSheetId="3" hidden="1">'25-Yr Val 12'!#REF!</definedName>
    <definedName name="solver_lhs7" localSheetId="0" hidden="1">'FinRatios 10'!#REF!</definedName>
    <definedName name="solver_lhs8" localSheetId="3" hidden="1">'25-Yr Val 12'!#REF!</definedName>
    <definedName name="solver_lhs8" localSheetId="0" hidden="1">'FinRatios 10'!#REF!</definedName>
    <definedName name="solver_lhs9" localSheetId="3" hidden="1">'25-Yr Val 12'!#REF!</definedName>
    <definedName name="solver_lhs9" localSheetId="0" hidden="1">'FinRatios 10'!#REF!</definedName>
    <definedName name="solver_lin" localSheetId="3" hidden="1">2</definedName>
    <definedName name="solver_lin" localSheetId="0" hidden="1">2</definedName>
    <definedName name="solver_neg" localSheetId="3" hidden="1">1</definedName>
    <definedName name="solver_neg" localSheetId="0" hidden="1">1</definedName>
    <definedName name="solver_num" localSheetId="3" hidden="1">17</definedName>
    <definedName name="solver_num" localSheetId="0" hidden="1">17</definedName>
    <definedName name="solver_nwt" localSheetId="3" hidden="1">1</definedName>
    <definedName name="solver_nwt" localSheetId="0" hidden="1">1</definedName>
    <definedName name="solver_opt" localSheetId="3" hidden="1">'25-Yr Val 12'!#REF!</definedName>
    <definedName name="solver_opt" localSheetId="0" hidden="1">'FinRatios 10'!#REF!</definedName>
    <definedName name="solver_pre" localSheetId="3" hidden="1">0.0001</definedName>
    <definedName name="solver_pre" localSheetId="0" hidden="1">0.0001</definedName>
    <definedName name="solver_rel1" localSheetId="3" hidden="1">1</definedName>
    <definedName name="solver_rel1" localSheetId="0" hidden="1">1</definedName>
    <definedName name="solver_rel10" localSheetId="3" hidden="1">1</definedName>
    <definedName name="solver_rel10" localSheetId="0" hidden="1">1</definedName>
    <definedName name="solver_rel11" localSheetId="3" hidden="1">3</definedName>
    <definedName name="solver_rel11" localSheetId="0" hidden="1">3</definedName>
    <definedName name="solver_rel12" localSheetId="3" hidden="1">3</definedName>
    <definedName name="solver_rel12" localSheetId="0" hidden="1">3</definedName>
    <definedName name="solver_rel13" localSheetId="3" hidden="1">3</definedName>
    <definedName name="solver_rel13" localSheetId="0" hidden="1">3</definedName>
    <definedName name="solver_rel14" localSheetId="3" hidden="1">3</definedName>
    <definedName name="solver_rel14" localSheetId="0" hidden="1">3</definedName>
    <definedName name="solver_rel15" localSheetId="3" hidden="1">1</definedName>
    <definedName name="solver_rel15" localSheetId="0" hidden="1">1</definedName>
    <definedName name="solver_rel16" localSheetId="3" hidden="1">3</definedName>
    <definedName name="solver_rel16" localSheetId="0" hidden="1">3</definedName>
    <definedName name="solver_rel17" localSheetId="3" hidden="1">3</definedName>
    <definedName name="solver_rel17" localSheetId="0" hidden="1">3</definedName>
    <definedName name="solver_rel2" localSheetId="3" hidden="1">3</definedName>
    <definedName name="solver_rel2" localSheetId="0" hidden="1">3</definedName>
    <definedName name="solver_rel3" localSheetId="3" hidden="1">2</definedName>
    <definedName name="solver_rel3" localSheetId="0" hidden="1">2</definedName>
    <definedName name="solver_rel4" localSheetId="3" hidden="1">1</definedName>
    <definedName name="solver_rel4" localSheetId="0" hidden="1">1</definedName>
    <definedName name="solver_rel5" localSheetId="3" hidden="1">3</definedName>
    <definedName name="solver_rel5" localSheetId="0" hidden="1">3</definedName>
    <definedName name="solver_rel6" localSheetId="3" hidden="1">3</definedName>
    <definedName name="solver_rel6" localSheetId="0" hidden="1">3</definedName>
    <definedName name="solver_rel7" localSheetId="3" hidden="1">1</definedName>
    <definedName name="solver_rel7" localSheetId="0" hidden="1">1</definedName>
    <definedName name="solver_rel8" localSheetId="3" hidden="1">3</definedName>
    <definedName name="solver_rel8" localSheetId="0" hidden="1">3</definedName>
    <definedName name="solver_rel9" localSheetId="3" hidden="1">2</definedName>
    <definedName name="solver_rel9" localSheetId="0" hidden="1">2</definedName>
    <definedName name="solver_rhs1" localSheetId="3" hidden="1">0.9</definedName>
    <definedName name="solver_rhs1" localSheetId="0" hidden="1">0.9</definedName>
    <definedName name="solver_rhs10" localSheetId="3" hidden="1">2</definedName>
    <definedName name="solver_rhs10" localSheetId="0" hidden="1">2</definedName>
    <definedName name="solver_rhs11" localSheetId="3" hidden="1">0</definedName>
    <definedName name="solver_rhs11" localSheetId="0" hidden="1">0</definedName>
    <definedName name="solver_rhs12" localSheetId="3" hidden="1">'25-Yr Val 12'!#REF!</definedName>
    <definedName name="solver_rhs12" localSheetId="0" hidden="1">'FinRatios 10'!#REF!</definedName>
    <definedName name="solver_rhs13" localSheetId="3" hidden="1">0</definedName>
    <definedName name="solver_rhs13" localSheetId="0" hidden="1">0</definedName>
    <definedName name="solver_rhs14" localSheetId="3" hidden="1">0</definedName>
    <definedName name="solver_rhs14" localSheetId="0" hidden="1">0</definedName>
    <definedName name="solver_rhs15" localSheetId="3" hidden="1">'25-Yr Val 12'!#REF!</definedName>
    <definedName name="solver_rhs15" localSheetId="0" hidden="1">'FinRatios 10'!#REF!</definedName>
    <definedName name="solver_rhs16" localSheetId="3" hidden="1">'25-Yr Val 12'!#REF!</definedName>
    <definedName name="solver_rhs16" localSheetId="0" hidden="1">'FinRatios 10'!#REF!</definedName>
    <definedName name="solver_rhs17" localSheetId="3" hidden="1">-'25-Yr Val 12'!#REF!</definedName>
    <definedName name="solver_rhs17" localSheetId="0" hidden="1">-'FinRatios 10'!#REF!</definedName>
    <definedName name="solver_rhs2" localSheetId="3" hidden="1">'25-Yr Val 12'!#REF!</definedName>
    <definedName name="solver_rhs2" localSheetId="0" hidden="1">'FinRatios 10'!#REF!</definedName>
    <definedName name="solver_rhs3" localSheetId="3" hidden="1">'25-Yr Val 12'!#REF!</definedName>
    <definedName name="solver_rhs3" localSheetId="0" hidden="1">'FinRatios 10'!#REF!</definedName>
    <definedName name="solver_rhs4" localSheetId="3" hidden="1">'25-Yr Val 12'!#REF!</definedName>
    <definedName name="solver_rhs4" localSheetId="0" hidden="1">'FinRatios 10'!#REF!</definedName>
    <definedName name="solver_rhs5" localSheetId="3" hidden="1">0</definedName>
    <definedName name="solver_rhs5" localSheetId="0" hidden="1">0</definedName>
    <definedName name="solver_rhs6" localSheetId="3" hidden="1">'25-Yr Val 12'!#REF!</definedName>
    <definedName name="solver_rhs6" localSheetId="0" hidden="1">'FinRatios 10'!#REF!</definedName>
    <definedName name="solver_rhs7" localSheetId="3" hidden="1">'25-Yr Val 12'!#REF!</definedName>
    <definedName name="solver_rhs7" localSheetId="0" hidden="1">'FinRatios 10'!#REF!</definedName>
    <definedName name="solver_rhs8" localSheetId="3" hidden="1">0</definedName>
    <definedName name="solver_rhs8" localSheetId="0" hidden="1">0</definedName>
    <definedName name="solver_rhs9" localSheetId="3" hidden="1">0</definedName>
    <definedName name="solver_rhs9" localSheetId="0" hidden="1">0</definedName>
    <definedName name="solver_scl" localSheetId="3" hidden="1">1</definedName>
    <definedName name="solver_scl" localSheetId="0" hidden="1">1</definedName>
    <definedName name="solver_sho" localSheetId="3" hidden="1">2</definedName>
    <definedName name="solver_sho" localSheetId="0" hidden="1">2</definedName>
    <definedName name="solver_tim" localSheetId="3" hidden="1">100</definedName>
    <definedName name="solver_tim" localSheetId="0" hidden="1">100</definedName>
    <definedName name="solver_tol" localSheetId="3" hidden="1">0.0005</definedName>
    <definedName name="solver_tol" localSheetId="0" hidden="1">0.0005</definedName>
    <definedName name="solver_typ" localSheetId="3" hidden="1">1</definedName>
    <definedName name="solver_typ" localSheetId="0" hidden="1">1</definedName>
    <definedName name="solver_val" localSheetId="3" hidden="1">0</definedName>
    <definedName name="solver_val" localSheetId="0"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7" i="15" l="1"/>
  <c r="K21" i="15"/>
  <c r="K20" i="15"/>
  <c r="J20" i="15"/>
  <c r="I20" i="15"/>
  <c r="H20" i="15"/>
  <c r="G20" i="15"/>
  <c r="F20" i="15"/>
  <c r="E20" i="15"/>
  <c r="D20" i="15"/>
  <c r="L19" i="15"/>
  <c r="J19" i="15"/>
  <c r="I19" i="15"/>
  <c r="H19" i="15"/>
  <c r="G19" i="15"/>
  <c r="F19" i="15"/>
  <c r="E19" i="15"/>
  <c r="D19" i="15"/>
  <c r="L18" i="15"/>
  <c r="J18" i="15"/>
  <c r="I18" i="15"/>
  <c r="H18" i="15"/>
  <c r="G18" i="15"/>
  <c r="F18" i="15"/>
  <c r="D18" i="15"/>
  <c r="L17" i="15"/>
  <c r="J17" i="15"/>
  <c r="I17" i="15"/>
  <c r="H17" i="15"/>
  <c r="G17" i="15"/>
  <c r="F17" i="15"/>
  <c r="D17" i="15"/>
  <c r="L16" i="15"/>
  <c r="J16" i="15"/>
  <c r="I16" i="15"/>
  <c r="H16" i="15"/>
  <c r="G16" i="15"/>
  <c r="F16" i="15"/>
  <c r="D16" i="15"/>
  <c r="L15" i="15"/>
  <c r="J15" i="15"/>
  <c r="I15" i="15"/>
  <c r="H15" i="15"/>
  <c r="G15" i="15"/>
  <c r="F15" i="15"/>
  <c r="D15" i="15"/>
  <c r="L14" i="15"/>
  <c r="J14" i="15"/>
  <c r="I14" i="15"/>
  <c r="H14" i="15"/>
  <c r="G14" i="15"/>
  <c r="F14" i="15"/>
  <c r="D14" i="15"/>
  <c r="L13" i="15"/>
  <c r="J13" i="15"/>
  <c r="I13" i="15"/>
  <c r="H13" i="15"/>
  <c r="G13" i="15"/>
  <c r="F13" i="15"/>
  <c r="D13" i="15"/>
  <c r="L12" i="15"/>
  <c r="J12" i="15"/>
  <c r="I12" i="15"/>
  <c r="H12" i="15"/>
  <c r="G12" i="15"/>
  <c r="F12" i="15"/>
  <c r="D12" i="15"/>
  <c r="L11" i="15"/>
  <c r="J11" i="15"/>
  <c r="I11" i="15"/>
  <c r="H11" i="15"/>
  <c r="G11" i="15"/>
  <c r="F11" i="15"/>
  <c r="D11" i="15"/>
  <c r="L10" i="15"/>
  <c r="J10" i="15"/>
  <c r="I10" i="15"/>
  <c r="H10" i="15"/>
  <c r="G10" i="15"/>
  <c r="F10" i="15"/>
  <c r="D10" i="15"/>
  <c r="L9" i="15"/>
  <c r="J9" i="15"/>
  <c r="I9" i="15"/>
  <c r="H9" i="15"/>
  <c r="G9" i="15"/>
  <c r="F9" i="15"/>
  <c r="D9" i="15"/>
  <c r="L8" i="15"/>
  <c r="E8" i="15"/>
  <c r="D8" i="15"/>
  <c r="L7" i="15"/>
  <c r="J6" i="15"/>
  <c r="I6" i="15"/>
  <c r="H6" i="15"/>
  <c r="G6" i="15"/>
  <c r="F6" i="15"/>
  <c r="E6" i="15"/>
  <c r="K3" i="15"/>
  <c r="J3" i="15"/>
  <c r="F3" i="15"/>
  <c r="E3" i="15"/>
  <c r="B3" i="15"/>
  <c r="A3" i="15"/>
  <c r="F2" i="15"/>
  <c r="B2" i="15"/>
  <c r="A2" i="15"/>
  <c r="B31" i="14"/>
  <c r="J30" i="14"/>
  <c r="I30" i="14"/>
  <c r="H30" i="14"/>
  <c r="G30" i="14"/>
  <c r="F30" i="14"/>
  <c r="E30" i="14"/>
  <c r="K29" i="14"/>
  <c r="J29" i="14"/>
  <c r="I29" i="14"/>
  <c r="H29" i="14"/>
  <c r="G29" i="14"/>
  <c r="F29" i="14"/>
  <c r="E29" i="14"/>
  <c r="J27" i="14"/>
  <c r="I27" i="14"/>
  <c r="J26" i="14"/>
  <c r="I26" i="14"/>
  <c r="H26" i="14"/>
  <c r="G26" i="14"/>
  <c r="F26" i="14"/>
  <c r="E26" i="14"/>
  <c r="J25" i="14"/>
  <c r="I25" i="14"/>
  <c r="H25" i="14"/>
  <c r="G25" i="14"/>
  <c r="F25" i="14"/>
  <c r="E25" i="14"/>
  <c r="J23" i="14"/>
  <c r="I23" i="14"/>
  <c r="H23" i="14"/>
  <c r="G23" i="14"/>
  <c r="F23" i="14"/>
  <c r="E23" i="14"/>
  <c r="J22" i="14"/>
  <c r="I22" i="14"/>
  <c r="H22" i="14"/>
  <c r="G22" i="14"/>
  <c r="F22" i="14"/>
  <c r="E22" i="14"/>
  <c r="J20" i="14"/>
  <c r="I20" i="14"/>
  <c r="H20" i="14"/>
  <c r="G20" i="14"/>
  <c r="F20" i="14"/>
  <c r="E20" i="14"/>
  <c r="D20" i="14"/>
  <c r="J19" i="14"/>
  <c r="I19" i="14"/>
  <c r="H19" i="14"/>
  <c r="G19" i="14"/>
  <c r="F19" i="14"/>
  <c r="E19" i="14"/>
  <c r="D19" i="14"/>
  <c r="J17" i="14"/>
  <c r="I17" i="14"/>
  <c r="H17" i="14"/>
  <c r="G17" i="14"/>
  <c r="F17" i="14"/>
  <c r="E17" i="14"/>
  <c r="D17" i="14"/>
  <c r="J16" i="14"/>
  <c r="I16" i="14"/>
  <c r="H16" i="14"/>
  <c r="G16" i="14"/>
  <c r="F16" i="14"/>
  <c r="E16" i="14"/>
  <c r="D16" i="14"/>
  <c r="J15" i="14"/>
  <c r="I15" i="14"/>
  <c r="H15" i="14"/>
  <c r="G15" i="14"/>
  <c r="F15" i="14"/>
  <c r="E15" i="14"/>
  <c r="D15" i="14"/>
  <c r="J14" i="14"/>
  <c r="I14" i="14"/>
  <c r="H14" i="14"/>
  <c r="G14" i="14"/>
  <c r="F14" i="14"/>
  <c r="E14" i="14"/>
  <c r="D14" i="14"/>
  <c r="J12" i="14"/>
  <c r="I12" i="14"/>
  <c r="H12" i="14"/>
  <c r="G12" i="14"/>
  <c r="F12" i="14"/>
  <c r="E12" i="14"/>
  <c r="D12" i="14"/>
  <c r="J11" i="14"/>
  <c r="I11" i="14"/>
  <c r="H11" i="14"/>
  <c r="G11" i="14"/>
  <c r="F11" i="14"/>
  <c r="E11" i="14"/>
  <c r="D11" i="14"/>
  <c r="G9" i="14"/>
  <c r="F9" i="14"/>
  <c r="A9" i="14"/>
  <c r="G8" i="14"/>
  <c r="F8" i="14"/>
  <c r="A8" i="14"/>
  <c r="A7" i="14"/>
  <c r="J8" i="14" s="1"/>
  <c r="J6" i="14"/>
  <c r="I6" i="14"/>
  <c r="H6" i="14"/>
  <c r="G6" i="14"/>
  <c r="F6" i="14"/>
  <c r="E6" i="14"/>
  <c r="K3" i="14"/>
  <c r="J3" i="14"/>
  <c r="F3" i="14"/>
  <c r="E3" i="14"/>
  <c r="B3" i="14"/>
  <c r="A3" i="14"/>
  <c r="F2" i="14"/>
  <c r="B2" i="14"/>
  <c r="A2" i="14"/>
  <c r="B40" i="13"/>
  <c r="B37" i="13"/>
  <c r="B35" i="13"/>
  <c r="A35" i="13"/>
  <c r="M33" i="13"/>
  <c r="L33" i="13"/>
  <c r="K33" i="13"/>
  <c r="J33" i="13"/>
  <c r="I33" i="13"/>
  <c r="G33" i="13"/>
  <c r="C33" i="13"/>
  <c r="M31" i="13"/>
  <c r="L31" i="13"/>
  <c r="K31" i="13"/>
  <c r="J31" i="13"/>
  <c r="I31" i="13"/>
  <c r="G31" i="13"/>
  <c r="M29" i="13"/>
  <c r="L29" i="13"/>
  <c r="K29" i="13"/>
  <c r="J29" i="13"/>
  <c r="I29" i="13"/>
  <c r="H29" i="13"/>
  <c r="G29" i="13"/>
  <c r="D29" i="13"/>
  <c r="C29" i="13"/>
  <c r="M28" i="13"/>
  <c r="L28" i="13"/>
  <c r="K28" i="13"/>
  <c r="J28" i="13"/>
  <c r="I28" i="13"/>
  <c r="H28" i="13"/>
  <c r="G28" i="13"/>
  <c r="D28" i="13"/>
  <c r="C28" i="13"/>
  <c r="M27" i="13"/>
  <c r="L27" i="13"/>
  <c r="K27" i="13"/>
  <c r="J27" i="13"/>
  <c r="I27" i="13"/>
  <c r="H27" i="13"/>
  <c r="G27" i="13"/>
  <c r="D27" i="13"/>
  <c r="C27" i="13"/>
  <c r="M26" i="13"/>
  <c r="L26" i="13"/>
  <c r="K26" i="13"/>
  <c r="J26" i="13"/>
  <c r="I26" i="13"/>
  <c r="H26" i="13"/>
  <c r="D26" i="13"/>
  <c r="C26"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M18" i="13"/>
  <c r="L18" i="13"/>
  <c r="K18" i="13"/>
  <c r="J18" i="13"/>
  <c r="I18" i="13"/>
  <c r="H18" i="13"/>
  <c r="G18" i="13"/>
  <c r="F18" i="13"/>
  <c r="E18" i="13"/>
  <c r="D18" i="13"/>
  <c r="C18" i="13"/>
  <c r="M17" i="13"/>
  <c r="L17" i="13"/>
  <c r="K17" i="13"/>
  <c r="J17" i="13"/>
  <c r="I17" i="13"/>
  <c r="H17" i="13"/>
  <c r="G17" i="13"/>
  <c r="F17" i="13"/>
  <c r="E17" i="13"/>
  <c r="D17" i="13"/>
  <c r="C17" i="13"/>
  <c r="M16" i="13"/>
  <c r="L16" i="13"/>
  <c r="K16" i="13"/>
  <c r="J16" i="13"/>
  <c r="I16" i="13"/>
  <c r="H16" i="13"/>
  <c r="G16" i="13"/>
  <c r="F16" i="13"/>
  <c r="E16" i="13"/>
  <c r="D16" i="13"/>
  <c r="C16" i="13"/>
  <c r="M15" i="13"/>
  <c r="L15" i="13"/>
  <c r="K15" i="13"/>
  <c r="J15" i="13"/>
  <c r="I15" i="13"/>
  <c r="H15" i="13"/>
  <c r="G15" i="13"/>
  <c r="F15" i="13"/>
  <c r="E15" i="13"/>
  <c r="D15" i="13"/>
  <c r="C15" i="13"/>
  <c r="M14" i="13"/>
  <c r="L14" i="13"/>
  <c r="K14" i="13"/>
  <c r="J14" i="13"/>
  <c r="I14" i="13"/>
  <c r="H14" i="13"/>
  <c r="G14" i="13"/>
  <c r="F14" i="13"/>
  <c r="E14" i="13"/>
  <c r="D14" i="13"/>
  <c r="C14" i="13"/>
  <c r="M13" i="13"/>
  <c r="L13" i="13"/>
  <c r="K13" i="13"/>
  <c r="J13" i="13"/>
  <c r="I13" i="13"/>
  <c r="H13" i="13"/>
  <c r="G13" i="13"/>
  <c r="F13" i="13"/>
  <c r="E13" i="13"/>
  <c r="D13" i="13"/>
  <c r="C13" i="13"/>
  <c r="M12" i="13"/>
  <c r="L12" i="13"/>
  <c r="K12" i="13"/>
  <c r="J12" i="13"/>
  <c r="I12" i="13"/>
  <c r="H12" i="13"/>
  <c r="G12" i="13"/>
  <c r="F12" i="13"/>
  <c r="E12" i="13"/>
  <c r="D12" i="13"/>
  <c r="C12" i="13"/>
  <c r="M11" i="13"/>
  <c r="L11" i="13"/>
  <c r="K11" i="13"/>
  <c r="J11" i="13"/>
  <c r="I11" i="13"/>
  <c r="H11" i="13"/>
  <c r="G11" i="13"/>
  <c r="F11" i="13"/>
  <c r="E11" i="13"/>
  <c r="D11" i="13"/>
  <c r="C11" i="13"/>
  <c r="M10" i="13"/>
  <c r="L10" i="13"/>
  <c r="K10" i="13"/>
  <c r="J10" i="13"/>
  <c r="I10" i="13"/>
  <c r="H10" i="13"/>
  <c r="G10" i="13"/>
  <c r="F10" i="13"/>
  <c r="E10" i="13"/>
  <c r="D10" i="13"/>
  <c r="C10" i="13"/>
  <c r="M9" i="13"/>
  <c r="L9" i="13"/>
  <c r="K9" i="13"/>
  <c r="J9" i="13"/>
  <c r="I9" i="13"/>
  <c r="H9" i="13"/>
  <c r="G9" i="13"/>
  <c r="F9" i="13"/>
  <c r="E9" i="13"/>
  <c r="D9" i="13"/>
  <c r="C9" i="13"/>
  <c r="M6" i="13"/>
  <c r="L6" i="13"/>
  <c r="K6" i="13"/>
  <c r="J6" i="13"/>
  <c r="I6" i="13"/>
  <c r="H6" i="13"/>
  <c r="G6" i="13"/>
  <c r="F6" i="13"/>
  <c r="E6" i="13"/>
  <c r="D6" i="13"/>
  <c r="K3" i="13"/>
  <c r="J3" i="13"/>
  <c r="F3" i="13"/>
  <c r="E3" i="13"/>
  <c r="B3" i="13"/>
  <c r="A3" i="13"/>
  <c r="F2" i="13"/>
  <c r="B2" i="13"/>
  <c r="A2" i="13"/>
  <c r="L53" i="12"/>
  <c r="J53" i="12"/>
  <c r="I53" i="12"/>
  <c r="H53" i="12"/>
  <c r="G53" i="12"/>
  <c r="F53" i="12"/>
  <c r="C53" i="12"/>
  <c r="J51" i="12"/>
  <c r="C51" i="12"/>
  <c r="J50" i="12"/>
  <c r="C50" i="12"/>
  <c r="J49" i="12"/>
  <c r="I49" i="12"/>
  <c r="C49" i="12"/>
  <c r="J48" i="12"/>
  <c r="I48" i="12"/>
  <c r="C48" i="12"/>
  <c r="J47" i="12"/>
  <c r="I47" i="12"/>
  <c r="H47" i="12"/>
  <c r="C47" i="12"/>
  <c r="J46" i="12"/>
  <c r="I46" i="12"/>
  <c r="H46" i="12"/>
  <c r="C46" i="12"/>
  <c r="J45" i="12"/>
  <c r="I45" i="12"/>
  <c r="H45" i="12"/>
  <c r="G45" i="12"/>
  <c r="C45" i="12"/>
  <c r="J44" i="12"/>
  <c r="I44" i="12"/>
  <c r="H44" i="12"/>
  <c r="G44" i="12"/>
  <c r="C44" i="12"/>
  <c r="J43" i="12"/>
  <c r="I43" i="12"/>
  <c r="H43" i="12"/>
  <c r="G43" i="12"/>
  <c r="F43" i="12"/>
  <c r="C43" i="12"/>
  <c r="J42" i="12"/>
  <c r="I42" i="12"/>
  <c r="H42" i="12"/>
  <c r="G42" i="12"/>
  <c r="F42" i="12"/>
  <c r="C42" i="12"/>
  <c r="J41" i="12"/>
  <c r="I41" i="12"/>
  <c r="H41" i="12"/>
  <c r="G41" i="12"/>
  <c r="F41" i="12"/>
  <c r="C41" i="12"/>
  <c r="J38" i="12"/>
  <c r="I38" i="12"/>
  <c r="H38" i="12"/>
  <c r="G38" i="12"/>
  <c r="F38" i="12"/>
  <c r="C38" i="12"/>
  <c r="J36" i="12"/>
  <c r="I36" i="12"/>
  <c r="C36" i="12"/>
  <c r="J35" i="12"/>
  <c r="I35" i="12"/>
  <c r="C35" i="12"/>
  <c r="J34" i="12"/>
  <c r="I34" i="12"/>
  <c r="H34" i="12"/>
  <c r="C34" i="12"/>
  <c r="J33" i="12"/>
  <c r="I33" i="12"/>
  <c r="H33" i="12"/>
  <c r="C33" i="12"/>
  <c r="J32" i="12"/>
  <c r="I32" i="12"/>
  <c r="H32" i="12"/>
  <c r="G32" i="12"/>
  <c r="C32" i="12"/>
  <c r="J31" i="12"/>
  <c r="I31" i="12"/>
  <c r="H31" i="12"/>
  <c r="G31" i="12"/>
  <c r="C31" i="12"/>
  <c r="J30" i="12"/>
  <c r="I30" i="12"/>
  <c r="H30" i="12"/>
  <c r="G30" i="12"/>
  <c r="F30" i="12"/>
  <c r="C30" i="12"/>
  <c r="J29" i="12"/>
  <c r="I29" i="12"/>
  <c r="H29" i="12"/>
  <c r="G29" i="12"/>
  <c r="F29" i="12"/>
  <c r="C29" i="12"/>
  <c r="J28" i="12"/>
  <c r="I28" i="12"/>
  <c r="H28" i="12"/>
  <c r="G28" i="12"/>
  <c r="F28" i="12"/>
  <c r="C28" i="12"/>
  <c r="J27" i="12"/>
  <c r="I27" i="12"/>
  <c r="H27" i="12"/>
  <c r="G27" i="12"/>
  <c r="F27" i="12"/>
  <c r="C27" i="12"/>
  <c r="J26" i="12"/>
  <c r="I26" i="12"/>
  <c r="H26" i="12"/>
  <c r="G26" i="12"/>
  <c r="F26" i="12"/>
  <c r="C26" i="12"/>
  <c r="K25" i="12"/>
  <c r="J25" i="12"/>
  <c r="I25" i="12"/>
  <c r="H25" i="12"/>
  <c r="G25" i="12"/>
  <c r="F25" i="12"/>
  <c r="C25" i="12"/>
  <c r="J24" i="12"/>
  <c r="I24" i="12"/>
  <c r="H24" i="12"/>
  <c r="G24" i="12"/>
  <c r="F24" i="12"/>
  <c r="C24" i="12"/>
  <c r="J22" i="12"/>
  <c r="I22" i="12"/>
  <c r="H22" i="12"/>
  <c r="G22" i="12"/>
  <c r="F22" i="12"/>
  <c r="C22" i="12"/>
  <c r="J20" i="12"/>
  <c r="C20" i="12"/>
  <c r="J19" i="12"/>
  <c r="C19" i="12"/>
  <c r="J18" i="12"/>
  <c r="I18" i="12"/>
  <c r="C18" i="12"/>
  <c r="J17" i="12"/>
  <c r="I17" i="12"/>
  <c r="C17" i="12"/>
  <c r="J16" i="12"/>
  <c r="I16" i="12"/>
  <c r="H16" i="12"/>
  <c r="C16" i="12"/>
  <c r="J15" i="12"/>
  <c r="I15" i="12"/>
  <c r="H15" i="12"/>
  <c r="C15" i="12"/>
  <c r="J14" i="12"/>
  <c r="I14" i="12"/>
  <c r="H14" i="12"/>
  <c r="G14" i="12"/>
  <c r="C14" i="12"/>
  <c r="J13" i="12"/>
  <c r="I13" i="12"/>
  <c r="H13" i="12"/>
  <c r="G13" i="12"/>
  <c r="C13" i="12"/>
  <c r="J12" i="12"/>
  <c r="I12" i="12"/>
  <c r="H12" i="12"/>
  <c r="G12" i="12"/>
  <c r="F12" i="12"/>
  <c r="C12" i="12"/>
  <c r="J11" i="12"/>
  <c r="I11" i="12"/>
  <c r="H11" i="12"/>
  <c r="G11" i="12"/>
  <c r="F11" i="12"/>
  <c r="C11" i="12"/>
  <c r="J10" i="12"/>
  <c r="I10" i="12"/>
  <c r="H10" i="12"/>
  <c r="G10" i="12"/>
  <c r="F10" i="12"/>
  <c r="C10" i="12"/>
  <c r="K9" i="12"/>
  <c r="J9" i="12"/>
  <c r="I9" i="12"/>
  <c r="H9" i="12"/>
  <c r="G9" i="12"/>
  <c r="F9" i="12"/>
  <c r="C9" i="12"/>
  <c r="J8" i="12"/>
  <c r="I8" i="12"/>
  <c r="H8" i="12"/>
  <c r="G8" i="12"/>
  <c r="F8" i="12"/>
  <c r="C8" i="12"/>
  <c r="J6" i="12"/>
  <c r="I6" i="12"/>
  <c r="H6" i="12"/>
  <c r="G6" i="12"/>
  <c r="F6" i="12"/>
  <c r="K3" i="12"/>
  <c r="J3" i="12"/>
  <c r="F3" i="12"/>
  <c r="E3" i="12"/>
  <c r="B3" i="12"/>
  <c r="A3" i="12"/>
  <c r="F2" i="12"/>
  <c r="B2" i="12"/>
  <c r="A2" i="12"/>
  <c r="J60" i="11"/>
  <c r="I60" i="11"/>
  <c r="H60" i="11"/>
  <c r="G60" i="11"/>
  <c r="F60" i="11"/>
  <c r="E60" i="11"/>
  <c r="D60" i="11"/>
  <c r="L59" i="11"/>
  <c r="J59" i="11"/>
  <c r="I59" i="11"/>
  <c r="H59" i="11"/>
  <c r="G59" i="11"/>
  <c r="F59" i="11"/>
  <c r="E59" i="11"/>
  <c r="D59" i="11"/>
  <c r="K58" i="11"/>
  <c r="J58" i="11"/>
  <c r="I58" i="11"/>
  <c r="H58" i="11"/>
  <c r="G58" i="11"/>
  <c r="F58" i="11"/>
  <c r="E58" i="11"/>
  <c r="D58" i="11"/>
  <c r="K57" i="11"/>
  <c r="J57" i="11"/>
  <c r="I57" i="11"/>
  <c r="H57" i="11"/>
  <c r="G57" i="11"/>
  <c r="F57" i="11"/>
  <c r="E57" i="11"/>
  <c r="D57" i="11"/>
  <c r="K56" i="11"/>
  <c r="J56" i="11"/>
  <c r="I56" i="11"/>
  <c r="H56" i="11"/>
  <c r="G56" i="11"/>
  <c r="F56" i="11"/>
  <c r="E56" i="11"/>
  <c r="D56" i="11"/>
  <c r="K55" i="11"/>
  <c r="J55" i="11"/>
  <c r="I55" i="11"/>
  <c r="H55" i="11"/>
  <c r="G55" i="11"/>
  <c r="F55" i="11"/>
  <c r="E55" i="11"/>
  <c r="D55" i="11"/>
  <c r="K54" i="11"/>
  <c r="J54" i="11"/>
  <c r="I54" i="11"/>
  <c r="H54" i="11"/>
  <c r="G54" i="11"/>
  <c r="F54" i="11"/>
  <c r="E54" i="11"/>
  <c r="D54" i="11"/>
  <c r="K53" i="11"/>
  <c r="J53" i="11"/>
  <c r="I53" i="11"/>
  <c r="H53" i="11"/>
  <c r="G53" i="11"/>
  <c r="F53" i="11"/>
  <c r="E53" i="11"/>
  <c r="D53" i="11"/>
  <c r="A53" i="11"/>
  <c r="L52" i="11"/>
  <c r="J52" i="11"/>
  <c r="I52" i="11"/>
  <c r="H52" i="11"/>
  <c r="G52" i="11"/>
  <c r="F52" i="11"/>
  <c r="E52" i="11"/>
  <c r="A52" i="11"/>
  <c r="J50" i="11"/>
  <c r="I50" i="11"/>
  <c r="H50" i="11"/>
  <c r="G50" i="11"/>
  <c r="F50" i="11"/>
  <c r="E50" i="11"/>
  <c r="D50" i="11"/>
  <c r="J49" i="11"/>
  <c r="I49" i="11"/>
  <c r="H49" i="11"/>
  <c r="G49" i="11"/>
  <c r="F49" i="11"/>
  <c r="E49" i="11"/>
  <c r="D49" i="11"/>
  <c r="J48" i="11"/>
  <c r="I48" i="11"/>
  <c r="H48" i="11"/>
  <c r="G48" i="11"/>
  <c r="F48" i="11"/>
  <c r="E48" i="11"/>
  <c r="D48" i="11"/>
  <c r="J47" i="11"/>
  <c r="I47" i="11"/>
  <c r="H47" i="11"/>
  <c r="G47" i="11"/>
  <c r="F47" i="11"/>
  <c r="E47" i="11"/>
  <c r="D47" i="11"/>
  <c r="J46" i="11"/>
  <c r="I46" i="11"/>
  <c r="H46" i="11"/>
  <c r="G46" i="11"/>
  <c r="F46" i="11"/>
  <c r="E46" i="11"/>
  <c r="D46" i="11"/>
  <c r="J45" i="11"/>
  <c r="I45" i="11"/>
  <c r="H45" i="11"/>
  <c r="G45" i="11"/>
  <c r="F45" i="11"/>
  <c r="E45" i="11"/>
  <c r="D45" i="11"/>
  <c r="A45" i="11"/>
  <c r="J44" i="11"/>
  <c r="I44" i="11"/>
  <c r="H44" i="11"/>
  <c r="G44" i="11"/>
  <c r="F44" i="11"/>
  <c r="E44" i="11"/>
  <c r="A44" i="11"/>
  <c r="J43" i="11"/>
  <c r="I43" i="11"/>
  <c r="H43" i="11"/>
  <c r="G43" i="11"/>
  <c r="F43" i="11"/>
  <c r="E43" i="11"/>
  <c r="D43" i="11"/>
  <c r="A43" i="11"/>
  <c r="K42" i="11"/>
  <c r="J42" i="11"/>
  <c r="I42" i="11"/>
  <c r="H42" i="11"/>
  <c r="G42" i="11"/>
  <c r="F42" i="11"/>
  <c r="D42" i="11"/>
  <c r="K41" i="11"/>
  <c r="J41" i="11"/>
  <c r="I41" i="11"/>
  <c r="H41" i="11"/>
  <c r="G41" i="11"/>
  <c r="F41" i="11"/>
  <c r="D41" i="11"/>
  <c r="K40" i="11"/>
  <c r="J40" i="11"/>
  <c r="I40" i="11"/>
  <c r="H40" i="11"/>
  <c r="G40" i="11"/>
  <c r="F40" i="11"/>
  <c r="D40" i="11"/>
  <c r="K39" i="11"/>
  <c r="J39" i="11"/>
  <c r="I39" i="11"/>
  <c r="H39" i="11"/>
  <c r="G39" i="11"/>
  <c r="F39" i="11"/>
  <c r="D39" i="11"/>
  <c r="K38" i="11"/>
  <c r="J38" i="11"/>
  <c r="I38" i="11"/>
  <c r="H38" i="11"/>
  <c r="G38" i="11"/>
  <c r="F38" i="11"/>
  <c r="D38" i="11"/>
  <c r="J37" i="11"/>
  <c r="I37" i="11"/>
  <c r="H37" i="11"/>
  <c r="G37" i="11"/>
  <c r="F37" i="11"/>
  <c r="E37" i="11"/>
  <c r="D37" i="11"/>
  <c r="A37" i="11"/>
  <c r="J36" i="11"/>
  <c r="I36" i="11"/>
  <c r="H36" i="11"/>
  <c r="G36" i="11"/>
  <c r="F36" i="11"/>
  <c r="A36" i="11"/>
  <c r="G34" i="11"/>
  <c r="F34" i="11"/>
  <c r="C34" i="11"/>
  <c r="B34" i="11"/>
  <c r="G33" i="11"/>
  <c r="F33" i="11"/>
  <c r="C33" i="11"/>
  <c r="B33" i="11"/>
  <c r="G32" i="11"/>
  <c r="F32" i="11"/>
  <c r="C32" i="11"/>
  <c r="B32" i="11"/>
  <c r="G31" i="11"/>
  <c r="F31" i="11"/>
  <c r="C31" i="11"/>
  <c r="B31" i="11"/>
  <c r="G30" i="11"/>
  <c r="F30" i="11"/>
  <c r="C30" i="11"/>
  <c r="B30" i="11"/>
  <c r="G29" i="11"/>
  <c r="F29" i="11"/>
  <c r="E29" i="11"/>
  <c r="D29" i="11"/>
  <c r="C29" i="11"/>
  <c r="B29" i="11"/>
  <c r="A29" i="11"/>
  <c r="G28" i="11"/>
  <c r="F28" i="11"/>
  <c r="C28" i="11"/>
  <c r="A28" i="11"/>
  <c r="M26" i="11"/>
  <c r="L26" i="11"/>
  <c r="K26" i="11"/>
  <c r="J26" i="11"/>
  <c r="I26" i="11"/>
  <c r="H26" i="11"/>
  <c r="G26" i="11"/>
  <c r="F26" i="11"/>
  <c r="E26" i="11"/>
  <c r="D26" i="11"/>
  <c r="C26" i="11"/>
  <c r="B26" i="11"/>
  <c r="A26" i="11"/>
  <c r="M25" i="11"/>
  <c r="L25" i="11"/>
  <c r="K25" i="11"/>
  <c r="J25" i="11"/>
  <c r="I25" i="11"/>
  <c r="H25" i="11"/>
  <c r="G25" i="11"/>
  <c r="F25" i="11"/>
  <c r="E25" i="11"/>
  <c r="D25" i="11"/>
  <c r="C25" i="11"/>
  <c r="B25" i="11"/>
  <c r="A25" i="11"/>
  <c r="M24" i="11"/>
  <c r="L24" i="11"/>
  <c r="K24" i="11"/>
  <c r="J24" i="11"/>
  <c r="I24" i="11"/>
  <c r="H24" i="11"/>
  <c r="G24" i="11"/>
  <c r="F24" i="11"/>
  <c r="E24" i="11"/>
  <c r="D24" i="11"/>
  <c r="C24" i="11"/>
  <c r="B24" i="11"/>
  <c r="A24" i="11"/>
  <c r="M23" i="11"/>
  <c r="L23" i="11"/>
  <c r="K23" i="11"/>
  <c r="J23" i="11"/>
  <c r="I23" i="11"/>
  <c r="H23" i="11"/>
  <c r="G23" i="11"/>
  <c r="F23" i="11"/>
  <c r="E23" i="11"/>
  <c r="D23" i="11"/>
  <c r="C23" i="11"/>
  <c r="B23" i="11"/>
  <c r="A23" i="11"/>
  <c r="M22" i="11"/>
  <c r="L22" i="11"/>
  <c r="K22" i="11"/>
  <c r="J22" i="11"/>
  <c r="I22" i="11"/>
  <c r="H22" i="11"/>
  <c r="G22" i="11"/>
  <c r="F22" i="11"/>
  <c r="E22" i="11"/>
  <c r="D22" i="11"/>
  <c r="C22" i="11"/>
  <c r="B22" i="11"/>
  <c r="A22" i="11"/>
  <c r="M21" i="11"/>
  <c r="L21" i="11"/>
  <c r="K21" i="11"/>
  <c r="J21" i="11"/>
  <c r="I21" i="11"/>
  <c r="H21" i="11"/>
  <c r="G21" i="11"/>
  <c r="F21" i="11"/>
  <c r="E21" i="11"/>
  <c r="D21" i="11"/>
  <c r="C21" i="11"/>
  <c r="B21" i="11"/>
  <c r="A21" i="11"/>
  <c r="M20" i="11"/>
  <c r="L20" i="11"/>
  <c r="K20" i="11"/>
  <c r="J20" i="11"/>
  <c r="I20" i="11"/>
  <c r="H20" i="11"/>
  <c r="G20" i="11"/>
  <c r="F20" i="11"/>
  <c r="E20" i="11"/>
  <c r="D20" i="11"/>
  <c r="C20" i="11"/>
  <c r="B20" i="11"/>
  <c r="A20" i="11"/>
  <c r="M19" i="11"/>
  <c r="L19" i="11"/>
  <c r="K19" i="11"/>
  <c r="J19" i="11"/>
  <c r="I19" i="11"/>
  <c r="H19" i="11"/>
  <c r="G19" i="11"/>
  <c r="F19" i="11"/>
  <c r="E19" i="11"/>
  <c r="D19" i="11"/>
  <c r="C19" i="11"/>
  <c r="A19" i="11"/>
  <c r="L18" i="11"/>
  <c r="K18" i="11"/>
  <c r="J18" i="11"/>
  <c r="I18" i="11"/>
  <c r="F18" i="11"/>
  <c r="E18" i="11"/>
  <c r="I16" i="11"/>
  <c r="H16" i="11"/>
  <c r="G16" i="11"/>
  <c r="F16" i="11"/>
  <c r="E16" i="11"/>
  <c r="D16" i="11"/>
  <c r="C16" i="11"/>
  <c r="B16" i="11"/>
  <c r="A16" i="11"/>
  <c r="I15" i="11"/>
  <c r="H15" i="11"/>
  <c r="G15" i="11"/>
  <c r="F15" i="11"/>
  <c r="E15" i="11"/>
  <c r="D15" i="11"/>
  <c r="C15" i="11"/>
  <c r="B15" i="11"/>
  <c r="A15" i="11"/>
  <c r="I14" i="11"/>
  <c r="H14" i="11"/>
  <c r="G14" i="11"/>
  <c r="F14" i="11"/>
  <c r="E14" i="11"/>
  <c r="D14" i="11"/>
  <c r="C14" i="11"/>
  <c r="B14" i="11"/>
  <c r="A14" i="11"/>
  <c r="I13" i="11"/>
  <c r="H13" i="11"/>
  <c r="G13" i="11"/>
  <c r="F13" i="11"/>
  <c r="E13" i="11"/>
  <c r="D13" i="11"/>
  <c r="C13" i="11"/>
  <c r="B13" i="11"/>
  <c r="A13" i="11"/>
  <c r="I12" i="11"/>
  <c r="H12" i="11"/>
  <c r="G12" i="11"/>
  <c r="F12" i="11"/>
  <c r="E12" i="11"/>
  <c r="D12" i="11"/>
  <c r="C12" i="11"/>
  <c r="B12" i="11"/>
  <c r="A12" i="11"/>
  <c r="I11" i="11"/>
  <c r="H11" i="11"/>
  <c r="G11" i="11"/>
  <c r="F11" i="11"/>
  <c r="E11" i="11"/>
  <c r="D11" i="11"/>
  <c r="C11" i="11"/>
  <c r="B11" i="11"/>
  <c r="A11" i="11"/>
  <c r="I10" i="11"/>
  <c r="H10" i="11"/>
  <c r="G10" i="11"/>
  <c r="F10" i="11"/>
  <c r="E10" i="11"/>
  <c r="D10" i="11"/>
  <c r="C10" i="11"/>
  <c r="B10" i="11"/>
  <c r="A10" i="11"/>
  <c r="I9" i="11"/>
  <c r="H9" i="11"/>
  <c r="G9" i="11"/>
  <c r="F9" i="11"/>
  <c r="E9" i="11"/>
  <c r="D9" i="11"/>
  <c r="C9" i="11"/>
  <c r="A9" i="11"/>
  <c r="I8" i="11"/>
  <c r="H8" i="11"/>
  <c r="G8" i="11"/>
  <c r="F8" i="11"/>
  <c r="D8" i="11"/>
  <c r="K7" i="11"/>
  <c r="J7" i="11"/>
  <c r="I7" i="11"/>
  <c r="H7" i="11"/>
  <c r="G7" i="11"/>
  <c r="F7" i="11"/>
  <c r="E7" i="11"/>
  <c r="D7" i="11"/>
  <c r="C7" i="11"/>
  <c r="B7" i="11"/>
  <c r="A7" i="11"/>
  <c r="M6" i="11"/>
  <c r="A6" i="11"/>
  <c r="K3" i="11"/>
  <c r="J3" i="11"/>
  <c r="F3" i="11"/>
  <c r="E3" i="11"/>
  <c r="B3" i="11"/>
  <c r="A3" i="11"/>
  <c r="F2" i="11"/>
  <c r="B2" i="11"/>
  <c r="A2" i="11"/>
  <c r="L51" i="10"/>
  <c r="K51" i="10"/>
  <c r="J51" i="10"/>
  <c r="I51" i="10"/>
  <c r="H51" i="10"/>
  <c r="G51" i="10"/>
  <c r="F51" i="10"/>
  <c r="E51" i="10"/>
  <c r="C51" i="10"/>
  <c r="J50" i="10"/>
  <c r="I50" i="10"/>
  <c r="H50" i="10"/>
  <c r="G50" i="10"/>
  <c r="F50" i="10"/>
  <c r="E50" i="10"/>
  <c r="C50" i="10"/>
  <c r="L49" i="10"/>
  <c r="J49" i="10"/>
  <c r="I49" i="10"/>
  <c r="H49" i="10"/>
  <c r="G49" i="10"/>
  <c r="F49" i="10"/>
  <c r="E49" i="10"/>
  <c r="C49" i="10"/>
  <c r="J48" i="10"/>
  <c r="I48" i="10"/>
  <c r="H48" i="10"/>
  <c r="G48" i="10"/>
  <c r="F48" i="10"/>
  <c r="E48" i="10"/>
  <c r="C48" i="10"/>
  <c r="J47" i="10"/>
  <c r="I47" i="10"/>
  <c r="H47" i="10"/>
  <c r="G47" i="10"/>
  <c r="F47" i="10"/>
  <c r="E47" i="10"/>
  <c r="C47" i="10"/>
  <c r="J46" i="10"/>
  <c r="I46" i="10"/>
  <c r="H46" i="10"/>
  <c r="G46" i="10"/>
  <c r="F46" i="10"/>
  <c r="E46" i="10"/>
  <c r="C46" i="10"/>
  <c r="L44" i="10"/>
  <c r="J44" i="10"/>
  <c r="I44" i="10"/>
  <c r="H44" i="10"/>
  <c r="G44" i="10"/>
  <c r="F44" i="10"/>
  <c r="E44" i="10"/>
  <c r="C44" i="10"/>
  <c r="J42" i="10"/>
  <c r="I42" i="10"/>
  <c r="H42" i="10"/>
  <c r="G42" i="10"/>
  <c r="F42" i="10"/>
  <c r="E42" i="10"/>
  <c r="C42" i="10"/>
  <c r="J41" i="10"/>
  <c r="I41" i="10"/>
  <c r="H41" i="10"/>
  <c r="G41" i="10"/>
  <c r="F41" i="10"/>
  <c r="E41" i="10"/>
  <c r="C41" i="10"/>
  <c r="J40" i="10"/>
  <c r="I40" i="10"/>
  <c r="H40" i="10"/>
  <c r="G40" i="10"/>
  <c r="F40" i="10"/>
  <c r="E40" i="10"/>
  <c r="C40" i="10"/>
  <c r="J39" i="10"/>
  <c r="I39" i="10"/>
  <c r="H39" i="10"/>
  <c r="G39" i="10"/>
  <c r="F39" i="10"/>
  <c r="E39" i="10"/>
  <c r="C39" i="10"/>
  <c r="J38" i="10"/>
  <c r="I38" i="10"/>
  <c r="H38" i="10"/>
  <c r="G38" i="10"/>
  <c r="F38" i="10"/>
  <c r="E38" i="10"/>
  <c r="C38" i="10"/>
  <c r="J36" i="10"/>
  <c r="I36" i="10"/>
  <c r="H36" i="10"/>
  <c r="G36" i="10"/>
  <c r="F36" i="10"/>
  <c r="E36" i="10"/>
  <c r="C36" i="10"/>
  <c r="B36" i="10"/>
  <c r="J34" i="10"/>
  <c r="I34" i="10"/>
  <c r="H34" i="10"/>
  <c r="G34" i="10"/>
  <c r="F34" i="10"/>
  <c r="E34" i="10"/>
  <c r="C34" i="10"/>
  <c r="J33" i="10"/>
  <c r="I33" i="10"/>
  <c r="H33" i="10"/>
  <c r="G33" i="10"/>
  <c r="F33" i="10"/>
  <c r="E33" i="10"/>
  <c r="C33" i="10"/>
  <c r="J32" i="10"/>
  <c r="I32" i="10"/>
  <c r="H32" i="10"/>
  <c r="G32" i="10"/>
  <c r="F32" i="10"/>
  <c r="E32" i="10"/>
  <c r="C32" i="10"/>
  <c r="J31" i="10"/>
  <c r="I31" i="10"/>
  <c r="H31" i="10"/>
  <c r="G31" i="10"/>
  <c r="F31" i="10"/>
  <c r="E31" i="10"/>
  <c r="C31" i="10"/>
  <c r="J30" i="10"/>
  <c r="I30" i="10"/>
  <c r="H30" i="10"/>
  <c r="G30" i="10"/>
  <c r="F30" i="10"/>
  <c r="E30" i="10"/>
  <c r="C30" i="10"/>
  <c r="J29" i="10"/>
  <c r="I29" i="10"/>
  <c r="H29" i="10"/>
  <c r="G29" i="10"/>
  <c r="F29" i="10"/>
  <c r="E29" i="10"/>
  <c r="C29" i="10"/>
  <c r="B29" i="10"/>
  <c r="J27" i="10"/>
  <c r="I27" i="10"/>
  <c r="H27" i="10"/>
  <c r="G27" i="10"/>
  <c r="F27" i="10"/>
  <c r="E27" i="10"/>
  <c r="C27" i="10"/>
  <c r="J25" i="10"/>
  <c r="I25" i="10"/>
  <c r="H25" i="10"/>
  <c r="G25" i="10"/>
  <c r="F25" i="10"/>
  <c r="C25" i="10"/>
  <c r="J24" i="10"/>
  <c r="I24" i="10"/>
  <c r="H24" i="10"/>
  <c r="G24" i="10"/>
  <c r="F24" i="10"/>
  <c r="C24" i="10"/>
  <c r="J23" i="10"/>
  <c r="I23" i="10"/>
  <c r="H23" i="10"/>
  <c r="G23" i="10"/>
  <c r="F23" i="10"/>
  <c r="C23" i="10"/>
  <c r="J22" i="10"/>
  <c r="I22" i="10"/>
  <c r="H22" i="10"/>
  <c r="G22" i="10"/>
  <c r="F22" i="10"/>
  <c r="C22" i="10"/>
  <c r="J21" i="10"/>
  <c r="I21" i="10"/>
  <c r="H21" i="10"/>
  <c r="G21" i="10"/>
  <c r="F21" i="10"/>
  <c r="C21" i="10"/>
  <c r="J20" i="10"/>
  <c r="I20" i="10"/>
  <c r="H20" i="10"/>
  <c r="G20" i="10"/>
  <c r="F20" i="10"/>
  <c r="C20" i="10"/>
  <c r="J19" i="10"/>
  <c r="I19" i="10"/>
  <c r="H19" i="10"/>
  <c r="G19" i="10"/>
  <c r="F19" i="10"/>
  <c r="C19" i="10"/>
  <c r="J17" i="10"/>
  <c r="I17" i="10"/>
  <c r="H17" i="10"/>
  <c r="G17" i="10"/>
  <c r="F17" i="10"/>
  <c r="C17" i="10"/>
  <c r="J15" i="10"/>
  <c r="I15" i="10"/>
  <c r="H15" i="10"/>
  <c r="G15" i="10"/>
  <c r="F15" i="10"/>
  <c r="C15" i="10"/>
  <c r="J14" i="10"/>
  <c r="I14" i="10"/>
  <c r="H14" i="10"/>
  <c r="G14" i="10"/>
  <c r="F14" i="10"/>
  <c r="C14" i="10"/>
  <c r="J13" i="10"/>
  <c r="I13" i="10"/>
  <c r="H13" i="10"/>
  <c r="G13" i="10"/>
  <c r="F13" i="10"/>
  <c r="C13" i="10"/>
  <c r="J12" i="10"/>
  <c r="I12" i="10"/>
  <c r="H12" i="10"/>
  <c r="G12" i="10"/>
  <c r="F12" i="10"/>
  <c r="C12" i="10"/>
  <c r="J11" i="10"/>
  <c r="I11" i="10"/>
  <c r="H11" i="10"/>
  <c r="G11" i="10"/>
  <c r="F11" i="10"/>
  <c r="C11" i="10"/>
  <c r="J10" i="10"/>
  <c r="I10" i="10"/>
  <c r="H10" i="10"/>
  <c r="G10" i="10"/>
  <c r="F10" i="10"/>
  <c r="C10" i="10"/>
  <c r="J9" i="10"/>
  <c r="I9" i="10"/>
  <c r="H9" i="10"/>
  <c r="G9" i="10"/>
  <c r="F9" i="10"/>
  <c r="C9" i="10"/>
  <c r="J8" i="10"/>
  <c r="I8" i="10"/>
  <c r="H8" i="10"/>
  <c r="G8" i="10"/>
  <c r="F8" i="10"/>
  <c r="C8" i="10"/>
  <c r="J6" i="10"/>
  <c r="I6" i="10"/>
  <c r="H6" i="10"/>
  <c r="G6" i="10"/>
  <c r="F6" i="10"/>
  <c r="C6" i="10"/>
  <c r="K3" i="10"/>
  <c r="J3" i="10"/>
  <c r="F3" i="10"/>
  <c r="E3" i="10"/>
  <c r="B3" i="10"/>
  <c r="A3" i="10"/>
  <c r="F2" i="10"/>
  <c r="B2" i="10"/>
  <c r="A2" i="10"/>
  <c r="I20" i="9"/>
  <c r="G20" i="9"/>
  <c r="F20" i="9"/>
  <c r="O19" i="9"/>
  <c r="N19" i="9"/>
  <c r="G19" i="9"/>
  <c r="F19" i="9"/>
  <c r="B19" i="9"/>
  <c r="O18" i="9"/>
  <c r="N18" i="9"/>
  <c r="G18" i="9"/>
  <c r="F18" i="9"/>
  <c r="K17" i="9"/>
  <c r="J17" i="9"/>
  <c r="C17" i="9"/>
  <c r="B17" i="9"/>
  <c r="O16" i="9"/>
  <c r="N16" i="9"/>
  <c r="K16" i="9"/>
  <c r="J16" i="9"/>
  <c r="G16" i="9"/>
  <c r="F16" i="9"/>
  <c r="C16" i="9"/>
  <c r="B16" i="9"/>
  <c r="O15" i="9"/>
  <c r="N15" i="9"/>
  <c r="K15" i="9"/>
  <c r="J15" i="9"/>
  <c r="G15" i="9"/>
  <c r="F15" i="9"/>
  <c r="O14" i="9"/>
  <c r="N14" i="9"/>
  <c r="K14" i="9"/>
  <c r="J14" i="9"/>
  <c r="G14" i="9"/>
  <c r="F14" i="9"/>
  <c r="C14" i="9"/>
  <c r="B14" i="9"/>
  <c r="O13" i="9"/>
  <c r="N13" i="9"/>
  <c r="K13" i="9"/>
  <c r="J13" i="9"/>
  <c r="G13" i="9"/>
  <c r="F13" i="9"/>
  <c r="C13" i="9"/>
  <c r="B13" i="9"/>
  <c r="O12" i="9"/>
  <c r="N12" i="9"/>
  <c r="K12" i="9"/>
  <c r="J12" i="9"/>
  <c r="G12" i="9"/>
  <c r="F12" i="9"/>
  <c r="C12" i="9"/>
  <c r="B12" i="9"/>
  <c r="O11" i="9"/>
  <c r="N11" i="9"/>
  <c r="K11" i="9"/>
  <c r="J11" i="9"/>
  <c r="G11" i="9"/>
  <c r="F11" i="9"/>
  <c r="C11" i="9"/>
  <c r="B11" i="9"/>
  <c r="O10" i="9"/>
  <c r="N10" i="9"/>
  <c r="K10" i="9"/>
  <c r="J10" i="9"/>
  <c r="G10" i="9"/>
  <c r="F10" i="9"/>
  <c r="C10" i="9"/>
  <c r="B10" i="9"/>
  <c r="O9" i="9"/>
  <c r="N9" i="9"/>
  <c r="K9" i="9"/>
  <c r="J9" i="9"/>
  <c r="G9" i="9"/>
  <c r="F9" i="9"/>
  <c r="C9" i="9"/>
  <c r="B9" i="9"/>
  <c r="N7" i="9"/>
  <c r="J7" i="9"/>
  <c r="F7" i="9"/>
  <c r="B7" i="9"/>
  <c r="K4" i="9"/>
  <c r="J4" i="9"/>
  <c r="F4" i="9"/>
  <c r="E4" i="9"/>
  <c r="B4" i="9"/>
  <c r="A4" i="9"/>
  <c r="F3" i="9"/>
  <c r="B3" i="9"/>
  <c r="A3" i="9"/>
  <c r="E2" i="9"/>
  <c r="E42" i="8"/>
  <c r="D42" i="8"/>
  <c r="J41" i="8"/>
  <c r="I41" i="8"/>
  <c r="E41" i="8"/>
  <c r="D41" i="8"/>
  <c r="J39" i="8"/>
  <c r="I39" i="8"/>
  <c r="H39" i="8"/>
  <c r="G39" i="8"/>
  <c r="F39" i="8"/>
  <c r="E39" i="8"/>
  <c r="D39" i="8"/>
  <c r="K38" i="8"/>
  <c r="J38" i="8"/>
  <c r="I38" i="8"/>
  <c r="H38" i="8"/>
  <c r="G38" i="8"/>
  <c r="F38" i="8"/>
  <c r="E38" i="8"/>
  <c r="D38" i="8"/>
  <c r="J37" i="8"/>
  <c r="I37" i="8"/>
  <c r="H37" i="8"/>
  <c r="G37" i="8"/>
  <c r="F37" i="8"/>
  <c r="E37" i="8"/>
  <c r="D37" i="8"/>
  <c r="J36" i="8"/>
  <c r="I36" i="8"/>
  <c r="H36" i="8"/>
  <c r="G36" i="8"/>
  <c r="F36" i="8"/>
  <c r="E36" i="8"/>
  <c r="D36" i="8"/>
  <c r="J35" i="8"/>
  <c r="I35" i="8"/>
  <c r="H35" i="8"/>
  <c r="G35" i="8"/>
  <c r="F35" i="8"/>
  <c r="E35" i="8"/>
  <c r="D35" i="8"/>
  <c r="E34" i="8"/>
  <c r="D34" i="8"/>
  <c r="J32" i="8"/>
  <c r="I32" i="8"/>
  <c r="H32" i="8"/>
  <c r="G32" i="8"/>
  <c r="F32" i="8"/>
  <c r="E32" i="8"/>
  <c r="F30" i="8"/>
  <c r="L28" i="8"/>
  <c r="F28" i="8"/>
  <c r="E28" i="8"/>
  <c r="J26" i="8"/>
  <c r="I26" i="8"/>
  <c r="H26" i="8"/>
  <c r="G26" i="8"/>
  <c r="F26" i="8"/>
  <c r="E26" i="8"/>
  <c r="D26" i="8"/>
  <c r="J25" i="8"/>
  <c r="D25" i="8"/>
  <c r="J21" i="8"/>
  <c r="I21" i="8"/>
  <c r="H21" i="8"/>
  <c r="G21" i="8"/>
  <c r="F21" i="8"/>
  <c r="D21" i="8"/>
  <c r="J20" i="8"/>
  <c r="I20" i="8"/>
  <c r="H20" i="8"/>
  <c r="G20" i="8"/>
  <c r="F20" i="8"/>
  <c r="D20" i="8"/>
  <c r="J19" i="8"/>
  <c r="I19" i="8"/>
  <c r="H19" i="8"/>
  <c r="G19" i="8"/>
  <c r="F19" i="8"/>
  <c r="D19" i="8"/>
  <c r="J18" i="8"/>
  <c r="I18" i="8"/>
  <c r="H18" i="8"/>
  <c r="G18" i="8"/>
  <c r="F18" i="8"/>
  <c r="D18" i="8"/>
  <c r="M17" i="8"/>
  <c r="J17" i="8"/>
  <c r="I17" i="8"/>
  <c r="H17" i="8"/>
  <c r="G17" i="8"/>
  <c r="F17" i="8"/>
  <c r="D17" i="8"/>
  <c r="J16" i="8"/>
  <c r="J22" i="8" s="1"/>
  <c r="I16" i="8"/>
  <c r="I22" i="8" s="1"/>
  <c r="I24" i="8" s="1"/>
  <c r="H16" i="8"/>
  <c r="H22" i="8" s="1"/>
  <c r="H24" i="8" s="1"/>
  <c r="G16" i="8"/>
  <c r="G22" i="8" s="1"/>
  <c r="G24" i="8" s="1"/>
  <c r="F16" i="8"/>
  <c r="F22" i="8" s="1"/>
  <c r="F24" i="8" s="1"/>
  <c r="D16" i="8"/>
  <c r="J14" i="8"/>
  <c r="J24" i="8" s="1"/>
  <c r="D14" i="8"/>
  <c r="J13" i="8"/>
  <c r="D13" i="8"/>
  <c r="J12" i="8"/>
  <c r="D12" i="8"/>
  <c r="L11" i="8"/>
  <c r="K11" i="8"/>
  <c r="J11" i="8"/>
  <c r="D11" i="8"/>
  <c r="J10" i="8"/>
  <c r="D10" i="8"/>
  <c r="L9" i="8"/>
  <c r="K9" i="8"/>
  <c r="J9" i="8"/>
  <c r="D9" i="8"/>
  <c r="E8" i="8"/>
  <c r="D8" i="8"/>
  <c r="J6" i="8"/>
  <c r="I6" i="8"/>
  <c r="H6" i="8"/>
  <c r="G6" i="8"/>
  <c r="F6" i="8"/>
  <c r="E6" i="8"/>
  <c r="K3" i="8"/>
  <c r="J3" i="8"/>
  <c r="F3" i="8"/>
  <c r="E3" i="8"/>
  <c r="B3" i="8"/>
  <c r="A3" i="8"/>
  <c r="F2" i="8"/>
  <c r="B2" i="8"/>
  <c r="A2" i="8"/>
  <c r="B53" i="7"/>
  <c r="F51" i="7"/>
  <c r="J48" i="7"/>
  <c r="I48" i="7"/>
  <c r="H48" i="7"/>
  <c r="G48" i="7"/>
  <c r="F48" i="7"/>
  <c r="J44" i="7"/>
  <c r="I44" i="7"/>
  <c r="H44" i="7"/>
  <c r="G44" i="7"/>
  <c r="F44" i="7"/>
  <c r="E44" i="7"/>
  <c r="J43" i="7"/>
  <c r="I43" i="7"/>
  <c r="H43" i="7"/>
  <c r="G43" i="7"/>
  <c r="F43" i="7"/>
  <c r="E43" i="7"/>
  <c r="J42" i="7"/>
  <c r="I42" i="7"/>
  <c r="H42" i="7"/>
  <c r="G42" i="7"/>
  <c r="F42" i="7"/>
  <c r="E42" i="7"/>
  <c r="J41" i="7"/>
  <c r="I41" i="7"/>
  <c r="H41" i="7"/>
  <c r="G41" i="7"/>
  <c r="F41" i="7"/>
  <c r="E41" i="7"/>
  <c r="J40" i="7"/>
  <c r="I40" i="7"/>
  <c r="H40" i="7"/>
  <c r="G40" i="7"/>
  <c r="F40" i="7"/>
  <c r="E40" i="7"/>
  <c r="J39" i="7"/>
  <c r="I39" i="7"/>
  <c r="H39" i="7"/>
  <c r="G39" i="7"/>
  <c r="F39" i="7"/>
  <c r="E39" i="7"/>
  <c r="J38" i="7"/>
  <c r="I38" i="7"/>
  <c r="H38" i="7"/>
  <c r="G38" i="7"/>
  <c r="F38" i="7"/>
  <c r="E38" i="7"/>
  <c r="J37" i="7"/>
  <c r="I37" i="7"/>
  <c r="H37" i="7"/>
  <c r="G37" i="7"/>
  <c r="F37" i="7"/>
  <c r="E37" i="7"/>
  <c r="J36" i="7"/>
  <c r="I36" i="7"/>
  <c r="H36" i="7"/>
  <c r="G36" i="7"/>
  <c r="F36" i="7"/>
  <c r="E36" i="7"/>
  <c r="J35" i="7"/>
  <c r="I35" i="7"/>
  <c r="H35" i="7"/>
  <c r="G35" i="7"/>
  <c r="F35" i="7"/>
  <c r="E35" i="7"/>
  <c r="J34" i="7"/>
  <c r="I34" i="7"/>
  <c r="H34" i="7"/>
  <c r="G34" i="7"/>
  <c r="F34" i="7"/>
  <c r="E34" i="7"/>
  <c r="J33" i="7"/>
  <c r="I33" i="7"/>
  <c r="H33" i="7"/>
  <c r="G33" i="7"/>
  <c r="F33" i="7"/>
  <c r="E33" i="7"/>
  <c r="J32" i="7"/>
  <c r="I32" i="7"/>
  <c r="H32" i="7"/>
  <c r="G32" i="7"/>
  <c r="F32" i="7"/>
  <c r="E32" i="7"/>
  <c r="J31" i="7"/>
  <c r="I31" i="7"/>
  <c r="H31" i="7"/>
  <c r="G31" i="7"/>
  <c r="F31" i="7"/>
  <c r="E31" i="7"/>
  <c r="J30" i="7"/>
  <c r="I30" i="7"/>
  <c r="H30" i="7"/>
  <c r="G30" i="7"/>
  <c r="F30" i="7"/>
  <c r="E30" i="7"/>
  <c r="J29" i="7"/>
  <c r="I29" i="7"/>
  <c r="H29" i="7"/>
  <c r="G29" i="7"/>
  <c r="F29" i="7"/>
  <c r="E29" i="7"/>
  <c r="J28" i="7"/>
  <c r="I28" i="7"/>
  <c r="H28" i="7"/>
  <c r="G28" i="7"/>
  <c r="F28" i="7"/>
  <c r="E28" i="7"/>
  <c r="J27" i="7"/>
  <c r="J45" i="7" s="1"/>
  <c r="I27" i="7"/>
  <c r="I45" i="7" s="1"/>
  <c r="H27" i="7"/>
  <c r="H45" i="7" s="1"/>
  <c r="G27" i="7"/>
  <c r="G45" i="7" s="1"/>
  <c r="F27" i="7"/>
  <c r="F45" i="7" s="1"/>
  <c r="E27" i="7"/>
  <c r="J23" i="7"/>
  <c r="I23" i="7"/>
  <c r="H23" i="7"/>
  <c r="G23" i="7"/>
  <c r="F23" i="7"/>
  <c r="E23" i="7"/>
  <c r="J22" i="7"/>
  <c r="I22" i="7"/>
  <c r="H22" i="7"/>
  <c r="G22" i="7"/>
  <c r="F22" i="7"/>
  <c r="E22" i="7"/>
  <c r="J21" i="7"/>
  <c r="I21" i="7"/>
  <c r="H21" i="7"/>
  <c r="G21" i="7"/>
  <c r="F21" i="7"/>
  <c r="E21" i="7"/>
  <c r="J20" i="7"/>
  <c r="J24" i="7" s="1"/>
  <c r="I20" i="7"/>
  <c r="I24" i="7" s="1"/>
  <c r="H20" i="7"/>
  <c r="H24" i="7" s="1"/>
  <c r="G20" i="7"/>
  <c r="G24" i="7" s="1"/>
  <c r="F20" i="7"/>
  <c r="F24" i="7" s="1"/>
  <c r="E20" i="7"/>
  <c r="J16" i="7"/>
  <c r="I16" i="7"/>
  <c r="H16" i="7"/>
  <c r="G16" i="7"/>
  <c r="F16" i="7"/>
  <c r="E16" i="7"/>
  <c r="J15" i="7"/>
  <c r="I15" i="7"/>
  <c r="H15" i="7"/>
  <c r="G15" i="7"/>
  <c r="F15" i="7"/>
  <c r="E15" i="7"/>
  <c r="J14" i="7"/>
  <c r="I14" i="7"/>
  <c r="H14" i="7"/>
  <c r="G14" i="7"/>
  <c r="F14" i="7"/>
  <c r="E14" i="7"/>
  <c r="J13" i="7"/>
  <c r="I13" i="7"/>
  <c r="H13" i="7"/>
  <c r="G13" i="7"/>
  <c r="F13" i="7"/>
  <c r="E13" i="7"/>
  <c r="J12" i="7"/>
  <c r="I12" i="7"/>
  <c r="H12" i="7"/>
  <c r="G12" i="7"/>
  <c r="F12" i="7"/>
  <c r="E12" i="7"/>
  <c r="J11" i="7"/>
  <c r="I11" i="7"/>
  <c r="H11" i="7"/>
  <c r="G11" i="7"/>
  <c r="F11" i="7"/>
  <c r="E11" i="7"/>
  <c r="J10" i="7"/>
  <c r="I10" i="7"/>
  <c r="H10" i="7"/>
  <c r="G10" i="7"/>
  <c r="F10" i="7"/>
  <c r="E10" i="7"/>
  <c r="J9" i="7"/>
  <c r="J17" i="7" s="1"/>
  <c r="J47" i="7" s="1"/>
  <c r="J49" i="7" s="1"/>
  <c r="I9" i="7"/>
  <c r="I17" i="7" s="1"/>
  <c r="I47" i="7" s="1"/>
  <c r="I49" i="7" s="1"/>
  <c r="H9" i="7"/>
  <c r="H17" i="7" s="1"/>
  <c r="H47" i="7" s="1"/>
  <c r="H49" i="7" s="1"/>
  <c r="G9" i="7"/>
  <c r="G17" i="7" s="1"/>
  <c r="G47" i="7" s="1"/>
  <c r="G49" i="7" s="1"/>
  <c r="F9" i="7"/>
  <c r="F17" i="7" s="1"/>
  <c r="F47" i="7" s="1"/>
  <c r="F49" i="7" s="1"/>
  <c r="F53" i="7" s="1"/>
  <c r="G51" i="7" s="1"/>
  <c r="E9" i="7"/>
  <c r="J6" i="7"/>
  <c r="I6" i="7"/>
  <c r="H6" i="7"/>
  <c r="G6" i="7"/>
  <c r="F6" i="7"/>
  <c r="K3" i="7"/>
  <c r="J3" i="7"/>
  <c r="F3" i="7"/>
  <c r="E3" i="7"/>
  <c r="B3" i="7"/>
  <c r="A3" i="7"/>
  <c r="B2" i="7"/>
  <c r="A2" i="7"/>
  <c r="J56" i="6"/>
  <c r="I56" i="6"/>
  <c r="H56" i="6"/>
  <c r="G56" i="6"/>
  <c r="F56" i="6"/>
  <c r="E56" i="6"/>
  <c r="B56" i="6"/>
  <c r="J54" i="6"/>
  <c r="I54" i="6"/>
  <c r="H54" i="6"/>
  <c r="G54" i="6"/>
  <c r="F54" i="6"/>
  <c r="E54" i="6"/>
  <c r="J53" i="6"/>
  <c r="I53" i="6"/>
  <c r="H53" i="6"/>
  <c r="G53" i="6"/>
  <c r="F53" i="6"/>
  <c r="E53" i="6"/>
  <c r="J52" i="6"/>
  <c r="I52" i="6"/>
  <c r="H52" i="6"/>
  <c r="G52" i="6"/>
  <c r="F52" i="6"/>
  <c r="E52" i="6"/>
  <c r="J51" i="6"/>
  <c r="I51" i="6"/>
  <c r="H51" i="6"/>
  <c r="G51" i="6"/>
  <c r="F51" i="6"/>
  <c r="E51" i="6"/>
  <c r="J50" i="6"/>
  <c r="I50" i="6"/>
  <c r="H50" i="6"/>
  <c r="G50" i="6"/>
  <c r="F50" i="6"/>
  <c r="E50" i="6"/>
  <c r="J49" i="6"/>
  <c r="I49" i="6"/>
  <c r="H49" i="6"/>
  <c r="G49" i="6"/>
  <c r="F49" i="6"/>
  <c r="E49" i="6"/>
  <c r="J48" i="6"/>
  <c r="I48" i="6"/>
  <c r="H48" i="6"/>
  <c r="G48" i="6"/>
  <c r="F48" i="6"/>
  <c r="E48" i="6"/>
  <c r="J47" i="6"/>
  <c r="I47" i="6"/>
  <c r="H47" i="6"/>
  <c r="G47" i="6"/>
  <c r="F47" i="6"/>
  <c r="E47" i="6"/>
  <c r="J46" i="6"/>
  <c r="I46" i="6"/>
  <c r="H46" i="6"/>
  <c r="G46" i="6"/>
  <c r="F46" i="6"/>
  <c r="E46" i="6"/>
  <c r="J43" i="6"/>
  <c r="I43" i="6"/>
  <c r="H43" i="6"/>
  <c r="G43" i="6"/>
  <c r="F43" i="6"/>
  <c r="E43" i="6"/>
  <c r="J41" i="6"/>
  <c r="I41" i="6"/>
  <c r="H41" i="6"/>
  <c r="G41" i="6"/>
  <c r="F41" i="6"/>
  <c r="E41" i="6"/>
  <c r="J40" i="6"/>
  <c r="I40" i="6"/>
  <c r="H40" i="6"/>
  <c r="G40" i="6"/>
  <c r="F40" i="6"/>
  <c r="E40" i="6"/>
  <c r="J38" i="6"/>
  <c r="I38" i="6"/>
  <c r="H38" i="6"/>
  <c r="G38" i="6"/>
  <c r="F38" i="6"/>
  <c r="E38" i="6"/>
  <c r="J37" i="6"/>
  <c r="I37" i="6"/>
  <c r="H37" i="6"/>
  <c r="G37" i="6"/>
  <c r="F37" i="6"/>
  <c r="E37" i="6"/>
  <c r="J36" i="6"/>
  <c r="I36" i="6"/>
  <c r="H36" i="6"/>
  <c r="G36" i="6"/>
  <c r="F36" i="6"/>
  <c r="E36" i="6"/>
  <c r="J35" i="6"/>
  <c r="I35" i="6"/>
  <c r="H35" i="6"/>
  <c r="G35" i="6"/>
  <c r="F35" i="6"/>
  <c r="E35" i="6"/>
  <c r="J34" i="6"/>
  <c r="I34" i="6"/>
  <c r="H34" i="6"/>
  <c r="G34" i="6"/>
  <c r="F34" i="6"/>
  <c r="E34" i="6"/>
  <c r="E33" i="6"/>
  <c r="J31" i="6"/>
  <c r="I31" i="6"/>
  <c r="H31" i="6"/>
  <c r="G31" i="6"/>
  <c r="F31" i="6"/>
  <c r="E31" i="6"/>
  <c r="J30" i="6"/>
  <c r="I30" i="6"/>
  <c r="H30" i="6"/>
  <c r="G30" i="6"/>
  <c r="F30" i="6"/>
  <c r="E30" i="6"/>
  <c r="J29" i="6"/>
  <c r="I29" i="6"/>
  <c r="H29" i="6"/>
  <c r="G29" i="6"/>
  <c r="F29" i="6"/>
  <c r="E29" i="6"/>
  <c r="J28" i="6"/>
  <c r="I28" i="6"/>
  <c r="H28" i="6"/>
  <c r="G28" i="6"/>
  <c r="F28" i="6"/>
  <c r="E28" i="6"/>
  <c r="J27" i="6"/>
  <c r="I27" i="6"/>
  <c r="H27" i="6"/>
  <c r="G27" i="6"/>
  <c r="F27" i="6"/>
  <c r="E27" i="6"/>
  <c r="J26" i="6"/>
  <c r="I26" i="6"/>
  <c r="H26" i="6"/>
  <c r="G26" i="6"/>
  <c r="F26" i="6"/>
  <c r="E26" i="6"/>
  <c r="J25" i="6"/>
  <c r="I25" i="6"/>
  <c r="H25" i="6"/>
  <c r="G25" i="6"/>
  <c r="F25" i="6"/>
  <c r="E25" i="6"/>
  <c r="J24" i="6"/>
  <c r="I24" i="6"/>
  <c r="H24" i="6"/>
  <c r="G24" i="6"/>
  <c r="F24" i="6"/>
  <c r="E24" i="6"/>
  <c r="J23" i="6"/>
  <c r="I23" i="6"/>
  <c r="H23" i="6"/>
  <c r="G23" i="6"/>
  <c r="F23" i="6"/>
  <c r="E23" i="6"/>
  <c r="J22" i="6"/>
  <c r="I22" i="6"/>
  <c r="H22" i="6"/>
  <c r="G22" i="6"/>
  <c r="F22" i="6"/>
  <c r="E22" i="6"/>
  <c r="J21" i="6"/>
  <c r="I21" i="6"/>
  <c r="H21" i="6"/>
  <c r="G21" i="6"/>
  <c r="F21" i="6"/>
  <c r="E21" i="6"/>
  <c r="J20" i="6"/>
  <c r="I20" i="6"/>
  <c r="H20" i="6"/>
  <c r="G20" i="6"/>
  <c r="F20" i="6"/>
  <c r="E20" i="6"/>
  <c r="J19" i="6"/>
  <c r="I19" i="6"/>
  <c r="H19" i="6"/>
  <c r="G19" i="6"/>
  <c r="F19" i="6"/>
  <c r="E19" i="6"/>
  <c r="J18" i="6"/>
  <c r="I18" i="6"/>
  <c r="H18" i="6"/>
  <c r="G18" i="6"/>
  <c r="F18" i="6"/>
  <c r="E18" i="6"/>
  <c r="J17" i="6"/>
  <c r="I17" i="6"/>
  <c r="H17" i="6"/>
  <c r="G17" i="6"/>
  <c r="F17" i="6"/>
  <c r="E17" i="6"/>
  <c r="J16" i="6"/>
  <c r="I16" i="6"/>
  <c r="H16" i="6"/>
  <c r="G16" i="6"/>
  <c r="F16" i="6"/>
  <c r="E16" i="6"/>
  <c r="J15" i="6"/>
  <c r="I15" i="6"/>
  <c r="H15" i="6"/>
  <c r="G15" i="6"/>
  <c r="F15" i="6"/>
  <c r="E15" i="6"/>
  <c r="J14" i="6"/>
  <c r="I14" i="6"/>
  <c r="H14" i="6"/>
  <c r="G14" i="6"/>
  <c r="F14" i="6"/>
  <c r="E14" i="6"/>
  <c r="J13" i="6"/>
  <c r="I13" i="6"/>
  <c r="H13" i="6"/>
  <c r="G13" i="6"/>
  <c r="F13" i="6"/>
  <c r="E13" i="6"/>
  <c r="J12" i="6"/>
  <c r="I12" i="6"/>
  <c r="H12" i="6"/>
  <c r="G12" i="6"/>
  <c r="F12" i="6"/>
  <c r="E12" i="6"/>
  <c r="J11" i="6"/>
  <c r="I11" i="6"/>
  <c r="H11" i="6"/>
  <c r="G11" i="6"/>
  <c r="F11" i="6"/>
  <c r="E11" i="6"/>
  <c r="J10" i="6"/>
  <c r="I10" i="6"/>
  <c r="H10" i="6"/>
  <c r="G10" i="6"/>
  <c r="F10" i="6"/>
  <c r="E10" i="6"/>
  <c r="J9" i="6"/>
  <c r="I9" i="6"/>
  <c r="H9" i="6"/>
  <c r="G9" i="6"/>
  <c r="F9" i="6"/>
  <c r="E9" i="6"/>
  <c r="J8" i="6"/>
  <c r="I8" i="6"/>
  <c r="H8" i="6"/>
  <c r="G8" i="6"/>
  <c r="F8" i="6"/>
  <c r="E8" i="6"/>
  <c r="J6" i="6"/>
  <c r="I6" i="6"/>
  <c r="H6" i="6"/>
  <c r="G6" i="6"/>
  <c r="F6" i="6"/>
  <c r="K3" i="6"/>
  <c r="J3" i="6"/>
  <c r="F3" i="6"/>
  <c r="E3" i="6"/>
  <c r="B3" i="6"/>
  <c r="A3" i="6"/>
  <c r="F2" i="6"/>
  <c r="B2" i="6"/>
  <c r="A2" i="6"/>
  <c r="L52" i="5"/>
  <c r="J52" i="5"/>
  <c r="I52" i="5"/>
  <c r="H52" i="5"/>
  <c r="G52" i="5"/>
  <c r="F52" i="5"/>
  <c r="E52" i="5"/>
  <c r="D52" i="5"/>
  <c r="C52" i="5"/>
  <c r="J51" i="5"/>
  <c r="I51" i="5"/>
  <c r="H51" i="5"/>
  <c r="G51" i="5"/>
  <c r="F51" i="5"/>
  <c r="E51" i="5"/>
  <c r="D51" i="5"/>
  <c r="C51" i="5"/>
  <c r="J49" i="5"/>
  <c r="I49" i="5"/>
  <c r="H49" i="5"/>
  <c r="G49" i="5"/>
  <c r="F49" i="5"/>
  <c r="E49" i="5"/>
  <c r="D49" i="5"/>
  <c r="C49" i="5"/>
  <c r="J48" i="5"/>
  <c r="I48" i="5"/>
  <c r="H48" i="5"/>
  <c r="G48" i="5"/>
  <c r="F48" i="5"/>
  <c r="E48" i="5"/>
  <c r="D48" i="5"/>
  <c r="C48" i="5"/>
  <c r="J47" i="5"/>
  <c r="I47" i="5"/>
  <c r="H47" i="5"/>
  <c r="G47" i="5"/>
  <c r="F47" i="5"/>
  <c r="E47" i="5"/>
  <c r="C47" i="5"/>
  <c r="J46" i="5"/>
  <c r="I46" i="5"/>
  <c r="H46" i="5"/>
  <c r="G46" i="5"/>
  <c r="F46" i="5"/>
  <c r="E46" i="5"/>
  <c r="C46" i="5"/>
  <c r="J45" i="5"/>
  <c r="I45" i="5"/>
  <c r="H45" i="5"/>
  <c r="G45" i="5"/>
  <c r="F45" i="5"/>
  <c r="E45" i="5"/>
  <c r="C45" i="5"/>
  <c r="J44" i="5"/>
  <c r="I44" i="5"/>
  <c r="H44" i="5"/>
  <c r="G44" i="5"/>
  <c r="F44" i="5"/>
  <c r="E44" i="5"/>
  <c r="D44" i="5"/>
  <c r="C44" i="5"/>
  <c r="J40" i="5"/>
  <c r="I40" i="5"/>
  <c r="H40" i="5"/>
  <c r="G40" i="5"/>
  <c r="F40" i="5"/>
  <c r="E40" i="5"/>
  <c r="C40" i="5"/>
  <c r="J39" i="5"/>
  <c r="I39" i="5"/>
  <c r="H39" i="5"/>
  <c r="G39" i="5"/>
  <c r="F39" i="5"/>
  <c r="E39" i="5"/>
  <c r="C39" i="5"/>
  <c r="J38" i="5"/>
  <c r="I38" i="5"/>
  <c r="H38" i="5"/>
  <c r="G38" i="5"/>
  <c r="F38" i="5"/>
  <c r="E38" i="5"/>
  <c r="C38" i="5"/>
  <c r="J37" i="5"/>
  <c r="I37" i="5"/>
  <c r="H37" i="5"/>
  <c r="G37" i="5"/>
  <c r="F37" i="5"/>
  <c r="E37" i="5"/>
  <c r="C37" i="5"/>
  <c r="J36" i="5"/>
  <c r="I36" i="5"/>
  <c r="H36" i="5"/>
  <c r="G36" i="5"/>
  <c r="F36" i="5"/>
  <c r="E36" i="5"/>
  <c r="C36" i="5"/>
  <c r="J35" i="5"/>
  <c r="I35" i="5"/>
  <c r="H35" i="5"/>
  <c r="G35" i="5"/>
  <c r="F35" i="5"/>
  <c r="E35" i="5"/>
  <c r="C35" i="5"/>
  <c r="J34" i="5"/>
  <c r="I34" i="5"/>
  <c r="H34" i="5"/>
  <c r="G34" i="5"/>
  <c r="F34" i="5"/>
  <c r="E34" i="5"/>
  <c r="C34" i="5"/>
  <c r="J33" i="5"/>
  <c r="I33" i="5"/>
  <c r="H33" i="5"/>
  <c r="G33" i="5"/>
  <c r="F33" i="5"/>
  <c r="E33" i="5"/>
  <c r="C33" i="5"/>
  <c r="J32" i="5"/>
  <c r="I32" i="5"/>
  <c r="H32" i="5"/>
  <c r="G32" i="5"/>
  <c r="F32" i="5"/>
  <c r="E32" i="5"/>
  <c r="C32" i="5"/>
  <c r="J31" i="5"/>
  <c r="I31" i="5"/>
  <c r="H31" i="5"/>
  <c r="G31" i="5"/>
  <c r="F31" i="5"/>
  <c r="E31" i="5"/>
  <c r="C31" i="5"/>
  <c r="J30" i="5"/>
  <c r="I30" i="5"/>
  <c r="H30" i="5"/>
  <c r="G30" i="5"/>
  <c r="F30" i="5"/>
  <c r="E30" i="5"/>
  <c r="C30" i="5"/>
  <c r="J28" i="5"/>
  <c r="J42" i="5" s="1"/>
  <c r="F28" i="5"/>
  <c r="F42" i="5" s="1"/>
  <c r="J27" i="5"/>
  <c r="I27" i="5"/>
  <c r="H27" i="5"/>
  <c r="G27" i="5"/>
  <c r="F27" i="5"/>
  <c r="E27" i="5"/>
  <c r="D27" i="5"/>
  <c r="C27" i="5"/>
  <c r="J26" i="5"/>
  <c r="I26" i="5"/>
  <c r="I28" i="5" s="1"/>
  <c r="I42" i="5" s="1"/>
  <c r="H26" i="5"/>
  <c r="H28" i="5" s="1"/>
  <c r="H42" i="5" s="1"/>
  <c r="G26" i="5"/>
  <c r="G28" i="5" s="1"/>
  <c r="G42" i="5" s="1"/>
  <c r="F26" i="5"/>
  <c r="E26" i="5"/>
  <c r="E28" i="5" s="1"/>
  <c r="E42" i="5" s="1"/>
  <c r="D26" i="5"/>
  <c r="D28" i="5" s="1"/>
  <c r="D42" i="5" s="1"/>
  <c r="C26" i="5"/>
  <c r="B25" i="5"/>
  <c r="J23" i="5"/>
  <c r="I23" i="5"/>
  <c r="H23" i="5"/>
  <c r="G23" i="5"/>
  <c r="F23" i="5"/>
  <c r="E23" i="5"/>
  <c r="D23" i="5"/>
  <c r="C23" i="5"/>
  <c r="J22" i="5"/>
  <c r="I22" i="5"/>
  <c r="H22" i="5"/>
  <c r="G22" i="5"/>
  <c r="F22" i="5"/>
  <c r="E22" i="5"/>
  <c r="D22" i="5"/>
  <c r="C22" i="5"/>
  <c r="J21" i="5"/>
  <c r="I21" i="5"/>
  <c r="H21" i="5"/>
  <c r="G21" i="5"/>
  <c r="F21" i="5"/>
  <c r="E21" i="5"/>
  <c r="C21" i="5"/>
  <c r="J20" i="5"/>
  <c r="I20" i="5"/>
  <c r="H20" i="5"/>
  <c r="G20" i="5"/>
  <c r="F20" i="5"/>
  <c r="E20" i="5"/>
  <c r="C20" i="5"/>
  <c r="J19" i="5"/>
  <c r="I19" i="5"/>
  <c r="H19" i="5"/>
  <c r="G19" i="5"/>
  <c r="F19" i="5"/>
  <c r="E19" i="5"/>
  <c r="C19" i="5"/>
  <c r="J18" i="5"/>
  <c r="I18" i="5"/>
  <c r="H18" i="5"/>
  <c r="G18" i="5"/>
  <c r="F18" i="5"/>
  <c r="E18" i="5"/>
  <c r="C18" i="5"/>
  <c r="J17" i="5"/>
  <c r="I17" i="5"/>
  <c r="H17" i="5"/>
  <c r="G17" i="5"/>
  <c r="F17" i="5"/>
  <c r="E17" i="5"/>
  <c r="C17" i="5"/>
  <c r="J16" i="5"/>
  <c r="I16" i="5"/>
  <c r="H16" i="5"/>
  <c r="G16" i="5"/>
  <c r="F16" i="5"/>
  <c r="E16" i="5"/>
  <c r="C16" i="5"/>
  <c r="J15" i="5"/>
  <c r="I15" i="5"/>
  <c r="H15" i="5"/>
  <c r="G15" i="5"/>
  <c r="F15" i="5"/>
  <c r="E15" i="5"/>
  <c r="C15" i="5"/>
  <c r="J14" i="5"/>
  <c r="I14" i="5"/>
  <c r="H14" i="5"/>
  <c r="G14" i="5"/>
  <c r="F14" i="5"/>
  <c r="E14" i="5"/>
  <c r="C14" i="5"/>
  <c r="J13" i="5"/>
  <c r="I13" i="5"/>
  <c r="H13" i="5"/>
  <c r="G13" i="5"/>
  <c r="F13" i="5"/>
  <c r="E13" i="5"/>
  <c r="C13" i="5"/>
  <c r="J12" i="5"/>
  <c r="I12" i="5"/>
  <c r="H12" i="5"/>
  <c r="G12" i="5"/>
  <c r="F12" i="5"/>
  <c r="E12" i="5"/>
  <c r="D12" i="5"/>
  <c r="C12" i="5"/>
  <c r="J11" i="5"/>
  <c r="I11" i="5"/>
  <c r="H11" i="5"/>
  <c r="G11" i="5"/>
  <c r="F11" i="5"/>
  <c r="E11" i="5"/>
  <c r="D11" i="5"/>
  <c r="C11" i="5"/>
  <c r="J10" i="5"/>
  <c r="I10" i="5"/>
  <c r="H10" i="5"/>
  <c r="G10" i="5"/>
  <c r="F10" i="5"/>
  <c r="E10" i="5"/>
  <c r="D10" i="5"/>
  <c r="C10" i="5"/>
  <c r="J9" i="5"/>
  <c r="I9" i="5"/>
  <c r="H9" i="5"/>
  <c r="G9" i="5"/>
  <c r="F9" i="5"/>
  <c r="E9" i="5"/>
  <c r="D9" i="5"/>
  <c r="C9" i="5"/>
  <c r="J8" i="5"/>
  <c r="I8" i="5"/>
  <c r="H8" i="5"/>
  <c r="G8" i="5"/>
  <c r="F8" i="5"/>
  <c r="E8" i="5"/>
  <c r="D8" i="5"/>
  <c r="C8" i="5"/>
  <c r="B7" i="5"/>
  <c r="J6" i="5"/>
  <c r="I6" i="5"/>
  <c r="H6" i="5"/>
  <c r="G6" i="5"/>
  <c r="F6" i="5"/>
  <c r="E6" i="5"/>
  <c r="D6" i="5"/>
  <c r="K3" i="5"/>
  <c r="J3" i="5"/>
  <c r="F3" i="5"/>
  <c r="E3" i="5"/>
  <c r="B3" i="5"/>
  <c r="A3" i="5"/>
  <c r="F2" i="5"/>
  <c r="B2" i="5"/>
  <c r="A2" i="5"/>
  <c r="J45" i="4"/>
  <c r="I45" i="4"/>
  <c r="H45" i="4"/>
  <c r="G45" i="4"/>
  <c r="F45" i="4"/>
  <c r="E45" i="4"/>
  <c r="B45" i="4"/>
  <c r="J44" i="4"/>
  <c r="I44" i="4"/>
  <c r="H44" i="4"/>
  <c r="G44" i="4"/>
  <c r="F44" i="4"/>
  <c r="E44" i="4"/>
  <c r="J43" i="4"/>
  <c r="I43" i="4"/>
  <c r="H43" i="4"/>
  <c r="G43" i="4"/>
  <c r="F43" i="4"/>
  <c r="E43" i="4"/>
  <c r="J41" i="4"/>
  <c r="I41" i="4"/>
  <c r="H41" i="4"/>
  <c r="G41" i="4"/>
  <c r="F41" i="4"/>
  <c r="E41" i="4"/>
  <c r="J38" i="4"/>
  <c r="I38" i="4"/>
  <c r="H38" i="4"/>
  <c r="G38" i="4"/>
  <c r="F38" i="4"/>
  <c r="E38" i="4"/>
  <c r="J37" i="4"/>
  <c r="I37" i="4"/>
  <c r="H37" i="4"/>
  <c r="G37" i="4"/>
  <c r="F37" i="4"/>
  <c r="E37" i="4"/>
  <c r="J36" i="4"/>
  <c r="I36" i="4"/>
  <c r="H36" i="4"/>
  <c r="G36" i="4"/>
  <c r="F36" i="4"/>
  <c r="E36" i="4"/>
  <c r="J35" i="4"/>
  <c r="I35" i="4"/>
  <c r="H35" i="4"/>
  <c r="G35" i="4"/>
  <c r="F35" i="4"/>
  <c r="E35" i="4"/>
  <c r="J34" i="4"/>
  <c r="I34" i="4"/>
  <c r="H34" i="4"/>
  <c r="G34" i="4"/>
  <c r="F34" i="4"/>
  <c r="E34" i="4"/>
  <c r="J33" i="4"/>
  <c r="I33" i="4"/>
  <c r="H33" i="4"/>
  <c r="G33" i="4"/>
  <c r="F33" i="4"/>
  <c r="E33" i="4"/>
  <c r="J32" i="4"/>
  <c r="I32" i="4"/>
  <c r="H32" i="4"/>
  <c r="G32" i="4"/>
  <c r="F32" i="4"/>
  <c r="E32" i="4"/>
  <c r="J31" i="4"/>
  <c r="I31" i="4"/>
  <c r="H31" i="4"/>
  <c r="G31" i="4"/>
  <c r="F31" i="4"/>
  <c r="E31" i="4"/>
  <c r="J30" i="4"/>
  <c r="I30" i="4"/>
  <c r="H30" i="4"/>
  <c r="G30" i="4"/>
  <c r="F30" i="4"/>
  <c r="E30" i="4"/>
  <c r="J29" i="4"/>
  <c r="J39" i="4" s="1"/>
  <c r="I29" i="4"/>
  <c r="I39" i="4" s="1"/>
  <c r="H29" i="4"/>
  <c r="H39" i="4" s="1"/>
  <c r="G29" i="4"/>
  <c r="G39" i="4" s="1"/>
  <c r="F29" i="4"/>
  <c r="F39" i="4" s="1"/>
  <c r="E29" i="4"/>
  <c r="J23" i="4"/>
  <c r="I23" i="4"/>
  <c r="H23" i="4"/>
  <c r="G23" i="4"/>
  <c r="F23" i="4"/>
  <c r="E23" i="4"/>
  <c r="J22" i="4"/>
  <c r="I22" i="4"/>
  <c r="H22" i="4"/>
  <c r="G22" i="4"/>
  <c r="F22" i="4"/>
  <c r="E22" i="4"/>
  <c r="J21" i="4"/>
  <c r="I21" i="4"/>
  <c r="H21" i="4"/>
  <c r="G21" i="4"/>
  <c r="F21" i="4"/>
  <c r="E21" i="4"/>
  <c r="J20" i="4"/>
  <c r="I20" i="4"/>
  <c r="H20" i="4"/>
  <c r="G20" i="4"/>
  <c r="F20" i="4"/>
  <c r="E20" i="4"/>
  <c r="J19" i="4"/>
  <c r="I19" i="4"/>
  <c r="H19" i="4"/>
  <c r="G19" i="4"/>
  <c r="F19" i="4"/>
  <c r="E19" i="4"/>
  <c r="J18" i="4"/>
  <c r="J24" i="4" s="1"/>
  <c r="I18" i="4"/>
  <c r="I24" i="4" s="1"/>
  <c r="H18" i="4"/>
  <c r="H24" i="4" s="1"/>
  <c r="G18" i="4"/>
  <c r="G24" i="4" s="1"/>
  <c r="F18" i="4"/>
  <c r="F24" i="4" s="1"/>
  <c r="E18" i="4"/>
  <c r="J14" i="4"/>
  <c r="I14" i="4"/>
  <c r="H14" i="4"/>
  <c r="G14" i="4"/>
  <c r="F14" i="4"/>
  <c r="E14" i="4"/>
  <c r="J13" i="4"/>
  <c r="I13" i="4"/>
  <c r="H13" i="4"/>
  <c r="G13" i="4"/>
  <c r="F13" i="4"/>
  <c r="E13" i="4"/>
  <c r="J11" i="4"/>
  <c r="I11" i="4"/>
  <c r="H11" i="4"/>
  <c r="G11" i="4"/>
  <c r="F11" i="4"/>
  <c r="E11" i="4"/>
  <c r="D11" i="4"/>
  <c r="J10" i="4"/>
  <c r="J15" i="4" s="1"/>
  <c r="J26" i="4" s="1"/>
  <c r="I10" i="4"/>
  <c r="I15" i="4" s="1"/>
  <c r="I26" i="4" s="1"/>
  <c r="H10" i="4"/>
  <c r="H15" i="4" s="1"/>
  <c r="H26" i="4" s="1"/>
  <c r="G10" i="4"/>
  <c r="G15" i="4" s="1"/>
  <c r="G26" i="4" s="1"/>
  <c r="F10" i="4"/>
  <c r="F15" i="4" s="1"/>
  <c r="F26" i="4" s="1"/>
  <c r="E10" i="4"/>
  <c r="D10" i="4"/>
  <c r="J9" i="4"/>
  <c r="I9" i="4"/>
  <c r="H9" i="4"/>
  <c r="G9" i="4"/>
  <c r="F9" i="4"/>
  <c r="D9" i="4"/>
  <c r="J8" i="4"/>
  <c r="I8" i="4"/>
  <c r="H8" i="4"/>
  <c r="G8" i="4"/>
  <c r="F8" i="4"/>
  <c r="E8" i="4"/>
  <c r="D8" i="4"/>
  <c r="J6" i="4"/>
  <c r="I6" i="4"/>
  <c r="H6" i="4"/>
  <c r="G6" i="4"/>
  <c r="F6" i="4"/>
  <c r="E6" i="4"/>
  <c r="K3" i="4"/>
  <c r="J3" i="4"/>
  <c r="F3" i="4"/>
  <c r="E3" i="4"/>
  <c r="B3" i="4"/>
  <c r="A3" i="4"/>
  <c r="F2" i="4"/>
  <c r="B2" i="4"/>
  <c r="A2" i="4"/>
  <c r="K51" i="3"/>
  <c r="B51" i="3"/>
  <c r="K50" i="3"/>
  <c r="K49" i="3"/>
  <c r="K48" i="3"/>
  <c r="K47" i="3"/>
  <c r="K46" i="3"/>
  <c r="A46" i="3"/>
  <c r="K45" i="3"/>
  <c r="K44" i="3"/>
  <c r="B44" i="3"/>
  <c r="J43" i="3"/>
  <c r="H43" i="3"/>
  <c r="B43" i="3"/>
  <c r="O42" i="3"/>
  <c r="N42" i="3"/>
  <c r="M42" i="3"/>
  <c r="L42" i="3"/>
  <c r="K42" i="3"/>
  <c r="J42" i="3"/>
  <c r="H42" i="3"/>
  <c r="B42" i="3"/>
  <c r="O41" i="3"/>
  <c r="N41" i="3"/>
  <c r="M41" i="3"/>
  <c r="L41" i="3"/>
  <c r="K41" i="3"/>
  <c r="J41" i="3"/>
  <c r="H41" i="3"/>
  <c r="A41" i="3"/>
  <c r="O40" i="3"/>
  <c r="N40" i="3"/>
  <c r="M40" i="3"/>
  <c r="L40" i="3"/>
  <c r="K40" i="3"/>
  <c r="J40" i="3"/>
  <c r="H40" i="3"/>
  <c r="A40" i="3"/>
  <c r="O39" i="3"/>
  <c r="N39" i="3"/>
  <c r="M39" i="3"/>
  <c r="L39" i="3"/>
  <c r="K39" i="3"/>
  <c r="J39" i="3"/>
  <c r="I39" i="3"/>
  <c r="H39" i="3"/>
  <c r="A39" i="3"/>
  <c r="O38" i="3"/>
  <c r="N38" i="3"/>
  <c r="M38" i="3"/>
  <c r="L38" i="3"/>
  <c r="K38" i="3"/>
  <c r="J38" i="3"/>
  <c r="I38" i="3"/>
  <c r="H38" i="3"/>
  <c r="A38" i="3"/>
  <c r="O37" i="3"/>
  <c r="N37" i="3"/>
  <c r="M37" i="3"/>
  <c r="L37" i="3"/>
  <c r="K37" i="3"/>
  <c r="J37" i="3"/>
  <c r="I37" i="3"/>
  <c r="H37" i="3"/>
  <c r="A37" i="3"/>
  <c r="O36" i="3"/>
  <c r="N36" i="3"/>
  <c r="M36" i="3"/>
  <c r="L36" i="3"/>
  <c r="K36" i="3"/>
  <c r="J36" i="3"/>
  <c r="I36" i="3"/>
  <c r="H36" i="3"/>
  <c r="A36" i="3"/>
  <c r="O35" i="3"/>
  <c r="N35" i="3"/>
  <c r="M35" i="3"/>
  <c r="L35" i="3"/>
  <c r="K35" i="3"/>
  <c r="J35" i="3"/>
  <c r="I35" i="3"/>
  <c r="H35" i="3"/>
  <c r="A35" i="3"/>
  <c r="O34" i="3"/>
  <c r="N34" i="3"/>
  <c r="M34" i="3"/>
  <c r="L34" i="3"/>
  <c r="K34" i="3"/>
  <c r="J34" i="3"/>
  <c r="I34" i="3"/>
  <c r="H34" i="3"/>
  <c r="A34" i="3"/>
  <c r="O33" i="3"/>
  <c r="N33" i="3"/>
  <c r="M33" i="3"/>
  <c r="L33" i="3"/>
  <c r="K33" i="3"/>
  <c r="J33" i="3"/>
  <c r="I33" i="3"/>
  <c r="H33" i="3"/>
  <c r="A33" i="3"/>
  <c r="O32" i="3"/>
  <c r="N32" i="3"/>
  <c r="M32" i="3"/>
  <c r="L32" i="3"/>
  <c r="K32" i="3"/>
  <c r="J32" i="3"/>
  <c r="I32" i="3"/>
  <c r="H32" i="3"/>
  <c r="A32" i="3"/>
  <c r="O31" i="3"/>
  <c r="N31" i="3"/>
  <c r="M31" i="3"/>
  <c r="L31" i="3"/>
  <c r="K31" i="3"/>
  <c r="J31" i="3"/>
  <c r="H31" i="3"/>
  <c r="A31" i="3"/>
  <c r="O30" i="3"/>
  <c r="N30" i="3"/>
  <c r="M30" i="3"/>
  <c r="L30" i="3"/>
  <c r="K30" i="3"/>
  <c r="J30" i="3"/>
  <c r="I30" i="3"/>
  <c r="H30" i="3"/>
  <c r="A30" i="3"/>
  <c r="N29" i="3"/>
  <c r="M29" i="3"/>
  <c r="L29" i="3"/>
  <c r="K29" i="3"/>
  <c r="J29" i="3"/>
  <c r="I29" i="3"/>
  <c r="H29" i="3"/>
  <c r="O28" i="3"/>
  <c r="N28" i="3"/>
  <c r="M28" i="3"/>
  <c r="L28" i="3"/>
  <c r="D28" i="3"/>
  <c r="C28" i="3"/>
  <c r="O27" i="3"/>
  <c r="D27" i="3"/>
  <c r="C27" i="3"/>
  <c r="O26" i="3"/>
  <c r="N26" i="3"/>
  <c r="M26" i="3"/>
  <c r="L26" i="3"/>
  <c r="J26" i="3"/>
  <c r="D26" i="3"/>
  <c r="C26" i="3"/>
  <c r="O25" i="3"/>
  <c r="N25" i="3"/>
  <c r="M25" i="3"/>
  <c r="L25" i="3"/>
  <c r="J25" i="3"/>
  <c r="G25" i="3"/>
  <c r="F25" i="3"/>
  <c r="A25" i="3"/>
  <c r="O24" i="3"/>
  <c r="N24" i="3"/>
  <c r="J24" i="3"/>
  <c r="G24" i="3"/>
  <c r="F24" i="3"/>
  <c r="D24" i="3"/>
  <c r="O23" i="3"/>
  <c r="N23" i="3"/>
  <c r="M23" i="3"/>
  <c r="L23" i="3"/>
  <c r="J23" i="3"/>
  <c r="G23" i="3"/>
  <c r="F23" i="3"/>
  <c r="D23" i="3"/>
  <c r="C23" i="3"/>
  <c r="J22" i="3"/>
  <c r="E22" i="3"/>
  <c r="D22" i="3"/>
  <c r="C22" i="3"/>
  <c r="O21" i="3"/>
  <c r="N21" i="3"/>
  <c r="M21" i="3"/>
  <c r="G21" i="3"/>
  <c r="F21" i="3"/>
  <c r="D21" i="3"/>
  <c r="C21" i="3"/>
  <c r="O20" i="3"/>
  <c r="M20" i="3"/>
  <c r="L20" i="3"/>
  <c r="K20" i="3"/>
  <c r="G20" i="3"/>
  <c r="F20" i="3"/>
  <c r="D20" i="3"/>
  <c r="M19" i="3"/>
  <c r="L19" i="3"/>
  <c r="K19" i="3"/>
  <c r="I19" i="3"/>
  <c r="H19" i="3"/>
  <c r="G19" i="3"/>
  <c r="F19" i="3"/>
  <c r="D19" i="3"/>
  <c r="C19" i="3"/>
  <c r="N18" i="3"/>
  <c r="M18" i="3"/>
  <c r="L18" i="3"/>
  <c r="K18" i="3"/>
  <c r="I18" i="3"/>
  <c r="H18" i="3"/>
  <c r="G18" i="3"/>
  <c r="F18" i="3"/>
  <c r="D18" i="3"/>
  <c r="C18" i="3"/>
  <c r="J17" i="3"/>
  <c r="I17" i="3"/>
  <c r="H17" i="3"/>
  <c r="G17" i="3"/>
  <c r="F17" i="3"/>
  <c r="D17" i="3"/>
  <c r="C17" i="3"/>
  <c r="I16" i="3"/>
  <c r="H16" i="3"/>
  <c r="G16" i="3"/>
  <c r="F16" i="3"/>
  <c r="D16" i="3"/>
  <c r="C16" i="3"/>
  <c r="O15" i="3"/>
  <c r="M15" i="3"/>
  <c r="K15" i="3"/>
  <c r="E15" i="3"/>
  <c r="A15" i="3"/>
  <c r="N14" i="3"/>
  <c r="M14" i="3"/>
  <c r="I14" i="3"/>
  <c r="O13" i="3"/>
  <c r="N13" i="3"/>
  <c r="M13" i="3"/>
  <c r="L13" i="3"/>
  <c r="G13" i="3"/>
  <c r="F13" i="3"/>
  <c r="N12" i="3"/>
  <c r="M12" i="3"/>
  <c r="B45" i="3" s="1"/>
  <c r="H12" i="3"/>
  <c r="G12" i="3"/>
  <c r="F12" i="3"/>
  <c r="D12" i="3"/>
  <c r="C12" i="3"/>
  <c r="N11" i="3"/>
  <c r="M11" i="3"/>
  <c r="G11" i="3"/>
  <c r="F11" i="3"/>
  <c r="D11" i="3"/>
  <c r="C11" i="3"/>
  <c r="N10" i="3"/>
  <c r="M10" i="3"/>
  <c r="L10" i="3"/>
  <c r="I10" i="3"/>
  <c r="H10" i="3"/>
  <c r="G10" i="3"/>
  <c r="F10" i="3"/>
  <c r="D10" i="3"/>
  <c r="C10" i="3"/>
  <c r="N9" i="3"/>
  <c r="M9" i="3"/>
  <c r="L9" i="3"/>
  <c r="I9" i="3"/>
  <c r="H9" i="3"/>
  <c r="G9" i="3"/>
  <c r="F9" i="3"/>
  <c r="D9" i="3"/>
  <c r="C9" i="3"/>
  <c r="N8" i="3"/>
  <c r="M8" i="3"/>
  <c r="L8" i="3"/>
  <c r="I8" i="3"/>
  <c r="H8" i="3"/>
  <c r="G8" i="3"/>
  <c r="F8" i="3"/>
  <c r="D8" i="3"/>
  <c r="C8" i="3"/>
  <c r="N7" i="3"/>
  <c r="M7" i="3"/>
  <c r="L7" i="3"/>
  <c r="I7" i="3"/>
  <c r="H7" i="3"/>
  <c r="G7" i="3"/>
  <c r="F7" i="3"/>
  <c r="D7" i="3"/>
  <c r="C7" i="3"/>
  <c r="J6" i="3"/>
  <c r="I6" i="3"/>
  <c r="H6" i="3"/>
  <c r="G6" i="3"/>
  <c r="E6" i="3"/>
  <c r="A6" i="3"/>
  <c r="K3" i="3"/>
  <c r="J3" i="3"/>
  <c r="F3" i="3"/>
  <c r="E3" i="3"/>
  <c r="B3" i="3"/>
  <c r="A3" i="3"/>
  <c r="B2" i="3"/>
  <c r="A2" i="3"/>
  <c r="B48" i="2"/>
  <c r="B34" i="2"/>
  <c r="C27" i="2"/>
  <c r="D25" i="2"/>
  <c r="M24" i="2"/>
  <c r="F24" i="2"/>
  <c r="E24" i="2"/>
  <c r="D24" i="2"/>
  <c r="C24" i="2"/>
  <c r="B24" i="2"/>
  <c r="A24" i="2"/>
  <c r="F23" i="2"/>
  <c r="E23" i="2"/>
  <c r="D23" i="2"/>
  <c r="C23" i="2"/>
  <c r="B23" i="2"/>
  <c r="A23" i="2"/>
  <c r="F22" i="2"/>
  <c r="E22" i="2"/>
  <c r="D22" i="2"/>
  <c r="C22" i="2"/>
  <c r="B22" i="2"/>
  <c r="A22" i="2"/>
  <c r="D21" i="2"/>
  <c r="C21" i="2"/>
  <c r="B21" i="2"/>
  <c r="C19" i="2"/>
  <c r="M18" i="2"/>
  <c r="M17" i="2"/>
  <c r="I17" i="2"/>
  <c r="H17" i="2"/>
  <c r="G17" i="2"/>
  <c r="I16" i="2"/>
  <c r="H16" i="2"/>
  <c r="G16" i="2"/>
  <c r="D16" i="2"/>
  <c r="C16" i="2"/>
  <c r="M15" i="2"/>
  <c r="L15" i="2"/>
  <c r="I15" i="2"/>
  <c r="H15" i="2"/>
  <c r="G15" i="2"/>
  <c r="D15" i="2"/>
  <c r="C15" i="2"/>
  <c r="M14" i="2"/>
  <c r="L14" i="2"/>
  <c r="H14" i="2"/>
  <c r="I14" i="2" s="1"/>
  <c r="G14" i="2"/>
  <c r="D14" i="2"/>
  <c r="C14" i="2"/>
  <c r="M13" i="2"/>
  <c r="J13" i="2"/>
  <c r="H13" i="2"/>
  <c r="I13" i="2" s="1"/>
  <c r="G13" i="2"/>
  <c r="D13" i="2"/>
  <c r="C13" i="2"/>
  <c r="A13" i="2"/>
  <c r="C33" i="2" s="1"/>
  <c r="M12" i="2"/>
  <c r="M16" i="2" s="1"/>
  <c r="M19" i="2" s="1"/>
  <c r="L12" i="2"/>
  <c r="H12" i="2"/>
  <c r="I12" i="2" s="1"/>
  <c r="G12" i="2"/>
  <c r="D12" i="2"/>
  <c r="A12" i="2"/>
  <c r="D18" i="2" s="1"/>
  <c r="E18" i="2" s="1"/>
  <c r="C32" i="2" s="1"/>
  <c r="A11" i="2"/>
  <c r="G25" i="2" s="1"/>
  <c r="N10" i="2"/>
  <c r="M10" i="2"/>
  <c r="L10" i="2"/>
  <c r="D10" i="2"/>
  <c r="A10" i="2"/>
  <c r="N9" i="2"/>
  <c r="M9" i="2"/>
  <c r="L9" i="2"/>
  <c r="I9" i="2"/>
  <c r="H9" i="2"/>
  <c r="D9" i="2"/>
  <c r="A9" i="2"/>
  <c r="A8" i="2"/>
  <c r="A7" i="2"/>
  <c r="K4" i="2"/>
  <c r="J4" i="2"/>
  <c r="F4" i="2"/>
  <c r="E4" i="2"/>
  <c r="F3" i="2"/>
  <c r="E3" i="2"/>
  <c r="F2" i="2"/>
  <c r="E2" i="2"/>
  <c r="G53" i="7" l="1"/>
  <c r="H51" i="7" s="1"/>
  <c r="H53" i="7" s="1"/>
  <c r="I51" i="7" s="1"/>
  <c r="I53" i="7" s="1"/>
  <c r="J51" i="7" s="1"/>
  <c r="J53" i="7" s="1"/>
  <c r="C31" i="2"/>
  <c r="C17" i="2"/>
  <c r="H18" i="2"/>
  <c r="I18" i="2" s="1"/>
  <c r="D19" i="2"/>
  <c r="H20" i="2"/>
  <c r="A25" i="2"/>
  <c r="E25" i="2"/>
  <c r="C18" i="2"/>
  <c r="H19" i="2"/>
  <c r="I20" i="2"/>
  <c r="L21" i="2"/>
  <c r="L22" i="2"/>
  <c r="L23" i="2"/>
  <c r="G24" i="2"/>
  <c r="B25" i="2"/>
  <c r="F25" i="2"/>
  <c r="I19" i="2"/>
  <c r="M21" i="2"/>
  <c r="M22" i="2"/>
  <c r="M23" i="2"/>
  <c r="L24" i="2"/>
  <c r="C25" i="2"/>
  <c r="M5" i="3" l="1"/>
  <c r="A34" i="15" l="1"/>
  <c r="A27" i="15" s="1"/>
  <c r="A44" i="2"/>
  <c r="A34" i="2" s="1"/>
  <c r="L6" i="2"/>
  <c r="L5" i="7"/>
  <c r="L5" i="15" l="1"/>
  <c r="L5" i="14"/>
  <c r="A54" i="13"/>
  <c r="B33" i="13" s="1"/>
  <c r="A36" i="14"/>
  <c r="A31" i="14" s="1"/>
  <c r="L5" i="13"/>
  <c r="L5" i="12"/>
  <c r="A70" i="11"/>
  <c r="L6" i="11" s="1"/>
  <c r="A57" i="12"/>
  <c r="K53" i="12" s="1"/>
  <c r="L5" i="11"/>
  <c r="L5" i="10"/>
  <c r="A57" i="9"/>
  <c r="A19" i="9" s="1"/>
  <c r="A55" i="10"/>
  <c r="K44" i="10" s="1"/>
  <c r="M6" i="9"/>
  <c r="L5" i="8"/>
  <c r="A57" i="7"/>
  <c r="A53" i="7" s="1"/>
  <c r="A60" i="8"/>
  <c r="K28" i="8" s="1"/>
  <c r="L5" i="6"/>
  <c r="A61" i="5"/>
  <c r="K52" i="5" s="1"/>
  <c r="A60" i="6"/>
  <c r="A56" i="6" s="1"/>
  <c r="L5" i="5"/>
  <c r="L5" i="4"/>
  <c r="A57" i="3"/>
  <c r="A51" i="3" s="1"/>
  <c r="A53" i="4"/>
  <c r="A45" i="4" s="1"/>
</calcChain>
</file>

<file path=xl/sharedStrings.xml><?xml version="1.0" encoding="utf-8"?>
<sst xmlns="http://schemas.openxmlformats.org/spreadsheetml/2006/main" count="124" uniqueCount="104">
  <si>
    <t>Valuation Summary</t>
  </si>
  <si>
    <t>Page 1</t>
  </si>
  <si>
    <t>EBITDA Multiple</t>
  </si>
  <si>
    <r>
      <t>Enterprise Value</t>
    </r>
    <r>
      <rPr>
        <b/>
        <sz val="8"/>
        <rFont val="Arial"/>
        <family val="2"/>
      </rPr>
      <t xml:space="preserve"> (EV)</t>
    </r>
  </si>
  <si>
    <t>EBIT Multiple</t>
  </si>
  <si>
    <t>Buyer Recieves</t>
  </si>
  <si>
    <t>Payment Details</t>
  </si>
  <si>
    <t>Cash to Seller at Closing</t>
  </si>
  <si>
    <t>EBITDA</t>
  </si>
  <si>
    <t>Revolver + Term Debt</t>
  </si>
  <si>
    <t>Total Capital Raised</t>
  </si>
  <si>
    <t>Less Acquisition Expenses</t>
  </si>
  <si>
    <t>Enterprise Value (EV)</t>
  </si>
  <si>
    <t>Less Excess Cash</t>
  </si>
  <si>
    <t>Year4</t>
  </si>
  <si>
    <t>Year5</t>
  </si>
  <si>
    <t>Notes:</t>
  </si>
  <si>
    <t>2. This Valuation Summary is based on inputs detailed on the attached Valuation Parameters page, which is an integral part of the valuation.</t>
  </si>
  <si>
    <t>Earn-out</t>
  </si>
  <si>
    <t>Valuation Parameters</t>
  </si>
  <si>
    <t>Page 2</t>
  </si>
  <si>
    <t>Old Fixed Assets Depreciation</t>
  </si>
  <si>
    <t>New Fixed Assets Depreciation</t>
  </si>
  <si>
    <t>Excess Cash Raised @ Closing</t>
  </si>
  <si>
    <t>Perpetuity Inputs for Exit Multiple</t>
  </si>
  <si>
    <t>Amount</t>
  </si>
  <si>
    <t>Interest %</t>
  </si>
  <si>
    <t>Years</t>
  </si>
  <si>
    <t>Sales Growth</t>
  </si>
  <si>
    <t>Expected ROI</t>
  </si>
  <si>
    <t>Real Estate</t>
  </si>
  <si>
    <t>Book Val</t>
  </si>
  <si>
    <t>Mkt Val</t>
  </si>
  <si>
    <t>Inflation</t>
  </si>
  <si>
    <t>Fixed Assets-Fair Market Value(FMV)</t>
  </si>
  <si>
    <t>Rem Book Life</t>
  </si>
  <si>
    <t>RE Loan (% of Mkt Val &amp;  Terms)</t>
  </si>
  <si>
    <t>Mezzanine Loan Principal Deferral</t>
  </si>
  <si>
    <t>Internal Settings</t>
  </si>
  <si>
    <t>S income: Yes=not-tax-affected, No=tax-affected</t>
  </si>
  <si>
    <t>Corp. taxes paid on liquidation in Asset sale</t>
  </si>
  <si>
    <t>n/a</t>
  </si>
  <si>
    <t>Gap(Seller) Note Pymnt: Yes= Fixed P, Var Int. No= Fixed (P+Int)</t>
  </si>
  <si>
    <t>FA Term Note Pymnt: Yes= Fixed P, Var Int., No= Fixed (P+Int)</t>
  </si>
  <si>
    <t>Over Adv Note Pymnt: Yes= Fixed P, Var Int., No= Fixed (P+Int)</t>
  </si>
  <si>
    <t>Use Credit Facility to Pay Over Advance Note</t>
  </si>
  <si>
    <t>#1. If there is excess cash flow paydown Over Advance loan</t>
  </si>
  <si>
    <t>#2. After #1 paydown Revolver</t>
  </si>
  <si>
    <t>#3. After #2 paydown Term loan</t>
  </si>
  <si>
    <t>#4. After #3 paydown Cap Ex loan</t>
  </si>
  <si>
    <t>#5. After #4 paydown Gap(Seller) Note</t>
  </si>
  <si>
    <t>#6. After #5 distribute excess cash flow as dividends</t>
  </si>
  <si>
    <t>ROI</t>
  </si>
  <si>
    <t>Depr</t>
  </si>
  <si>
    <t>Exit</t>
  </si>
  <si>
    <t>Discount rate to calculate PV of consulting</t>
  </si>
  <si>
    <t>BVX 204_64x.xls</t>
  </si>
  <si>
    <t>Page 3</t>
  </si>
  <si>
    <t>EBITDA after Earn-Out and Consulting Payments</t>
  </si>
  <si>
    <t>Depreciation and Amortization</t>
  </si>
  <si>
    <t>Total Depreciation and Amortization</t>
  </si>
  <si>
    <t>EBIT</t>
  </si>
  <si>
    <t>Interest Expense</t>
  </si>
  <si>
    <t>Total Interest Expense</t>
  </si>
  <si>
    <t>Page 4</t>
  </si>
  <si>
    <t>Total Non-Operating Liab</t>
  </si>
  <si>
    <t>Total Liabilities</t>
  </si>
  <si>
    <t>Page 5</t>
  </si>
  <si>
    <t>BVX Cash Flow Distribution/Funding</t>
  </si>
  <si>
    <t>Cash Flow Statement</t>
  </si>
  <si>
    <t>Page 6</t>
  </si>
  <si>
    <t>CASH FLOWS FROM OPERATING ACTIVITIES</t>
  </si>
  <si>
    <t xml:space="preserve">        Net Cash Provided (Used) From Operating Activities</t>
  </si>
  <si>
    <t>CASH FLOWS FROM INVESTING ACTIVITIES</t>
  </si>
  <si>
    <t xml:space="preserve">        Net Cash Used for Investing Activities</t>
  </si>
  <si>
    <t>CASH FLOWS FROM FINANCING ACTIVITIES</t>
  </si>
  <si>
    <t xml:space="preserve">      Net Cash Provided (Used) From Financing Activities</t>
  </si>
  <si>
    <t>Net Increase (Decrease) in Cash from Business</t>
  </si>
  <si>
    <t>Net Increase (Decrease) in Cash from Real Estate</t>
  </si>
  <si>
    <t xml:space="preserve">      Total Net Increase (Decrease) in Cash</t>
  </si>
  <si>
    <t>Beginning Cash Balance</t>
  </si>
  <si>
    <t>Ending Cash Balance</t>
  </si>
  <si>
    <t>Page 7</t>
  </si>
  <si>
    <r>
      <t xml:space="preserve">                      </t>
    </r>
    <r>
      <rPr>
        <u/>
        <sz val="8"/>
        <rFont val="Arial"/>
        <family val="2"/>
      </rPr>
      <t>Exit Mulitiple</t>
    </r>
  </si>
  <si>
    <r>
      <t xml:space="preserve">                        </t>
    </r>
    <r>
      <rPr>
        <u/>
        <sz val="8"/>
        <rFont val="Arial"/>
        <family val="2"/>
      </rPr>
      <t>Purch Multiple</t>
    </r>
  </si>
  <si>
    <t>Cash Flow Convention</t>
  </si>
  <si>
    <t>Yearly Cash Flow:</t>
  </si>
  <si>
    <t>Terminal Value:</t>
  </si>
  <si>
    <t>Year-end</t>
  </si>
  <si>
    <t>non-cash</t>
  </si>
  <si>
    <t>Buyer's &amp; Mezz Pre-tax Cash Flow</t>
  </si>
  <si>
    <t>Value of Mezzanine Warrants</t>
  </si>
  <si>
    <t>Page 8</t>
  </si>
  <si>
    <t>Page 9</t>
  </si>
  <si>
    <t>Page 10</t>
  </si>
  <si>
    <t>Page 11</t>
  </si>
  <si>
    <t>Page 12</t>
  </si>
  <si>
    <t>Input Variables</t>
  </si>
  <si>
    <t>Other Variables</t>
  </si>
  <si>
    <t xml:space="preserve">    Values of all other variables is assumed to remain the same as those on the Valuation Parameters page.</t>
  </si>
  <si>
    <t>Page 13</t>
  </si>
  <si>
    <t>Total</t>
  </si>
  <si>
    <t>Earn-Out</t>
  </si>
  <si>
    <t>Page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</si>
</sst>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0.0"/>
    <numFmt numFmtId="165" formatCode="m/d/yy\ h:mm\ AM/PM"/>
    <numFmt numFmtId="166" formatCode="mm/dd/yy"/>
    <numFmt numFmtId="167" formatCode=";;;"/>
    <numFmt numFmtId="168" formatCode="0.0%"/>
    <numFmt numFmtId="169" formatCode="0.0E+00"/>
    <numFmt numFmtId="170" formatCode="0;\-0;;@"/>
    <numFmt numFmtId="171" formatCode="_(* #,##0_);_(* \(#,##0\);_(* &quot;-&quot;??_);_(@_)"/>
  </numFmts>
  <fonts count="36" x14ac:knownFonts="1">
    <font>
      <sz val="9"/>
      <color theme="1"/>
      <name val="Segoe UI"/>
      <family val="2"/>
    </font>
    <font>
      <sz val="10"/>
      <name val="Arial"/>
      <family val="2"/>
    </font>
    <font>
      <b/>
      <u/>
      <sz val="16"/>
      <name val="Arial"/>
      <family val="2"/>
    </font>
    <font>
      <sz val="8"/>
      <name val="Arial"/>
      <family val="2"/>
    </font>
    <font>
      <b/>
      <u/>
      <sz val="14"/>
      <name val="Arial"/>
      <family val="2"/>
    </font>
    <font>
      <u/>
      <sz val="9"/>
      <name val="Arial"/>
      <family val="2"/>
    </font>
    <font>
      <u/>
      <sz val="10"/>
      <name val="Arial"/>
      <family val="2"/>
    </font>
    <font>
      <b/>
      <u/>
      <sz val="10"/>
      <name val="Arial"/>
      <family val="2"/>
    </font>
    <font>
      <b/>
      <sz val="10"/>
      <color indexed="9"/>
      <name val="Arial"/>
      <family val="2"/>
    </font>
    <font>
      <sz val="10"/>
      <color indexed="9"/>
      <name val="Arial"/>
      <family val="2"/>
    </font>
    <font>
      <b/>
      <sz val="10"/>
      <name val="Arial"/>
      <family val="2"/>
    </font>
    <font>
      <b/>
      <sz val="10"/>
      <color indexed="8"/>
      <name val="Arial"/>
      <family val="2"/>
    </font>
    <font>
      <b/>
      <sz val="8"/>
      <name val="Arial"/>
      <family val="2"/>
    </font>
    <font>
      <b/>
      <sz val="8"/>
      <color indexed="8"/>
      <name val="Arial"/>
      <family val="2"/>
    </font>
    <font>
      <sz val="7"/>
      <name val="Arial"/>
      <family val="2"/>
    </font>
    <font>
      <u/>
      <sz val="8"/>
      <name val="Arial"/>
      <family val="2"/>
    </font>
    <font>
      <u val="singleAccounting"/>
      <sz val="8"/>
      <name val="Arial"/>
      <family val="2"/>
    </font>
    <font>
      <sz val="8"/>
      <color indexed="8"/>
      <name val="Arial"/>
      <family val="2"/>
    </font>
    <font>
      <u val="doubleAccounting"/>
      <sz val="8"/>
      <name val="Arial"/>
      <family val="2"/>
    </font>
    <font>
      <u/>
      <sz val="7"/>
      <name val="Arial"/>
      <family val="2"/>
    </font>
    <font>
      <sz val="9"/>
      <name val="Arial"/>
      <family val="2"/>
    </font>
    <font>
      <sz val="6"/>
      <name val="Arial"/>
      <family val="2"/>
    </font>
    <font>
      <b/>
      <u/>
      <sz val="9"/>
      <name val="Arial"/>
      <family val="2"/>
    </font>
    <font>
      <b/>
      <u/>
      <sz val="10"/>
      <color indexed="9"/>
      <name val="Arial"/>
      <family val="2"/>
    </font>
    <font>
      <u/>
      <sz val="10"/>
      <color indexed="9"/>
      <name val="Arial"/>
      <family val="2"/>
    </font>
    <font>
      <u/>
      <sz val="9"/>
      <color indexed="9"/>
      <name val="Arial"/>
      <family val="2"/>
    </font>
    <font>
      <b/>
      <sz val="9"/>
      <color indexed="10"/>
      <name val="Arial"/>
      <family val="2"/>
    </font>
    <font>
      <u/>
      <sz val="10"/>
      <color indexed="12"/>
      <name val="Arial"/>
      <family val="2"/>
    </font>
    <font>
      <i/>
      <sz val="8"/>
      <name val="Arial"/>
      <family val="2"/>
    </font>
    <font>
      <strike/>
      <sz val="10"/>
      <name val="Arial"/>
      <family val="2"/>
    </font>
    <font>
      <b/>
      <sz val="9"/>
      <name val="Arial"/>
      <family val="2"/>
    </font>
    <font>
      <b/>
      <u val="doubleAccounting"/>
      <sz val="10"/>
      <name val="Arial"/>
      <family val="2"/>
    </font>
    <font>
      <b/>
      <sz val="14"/>
      <name val="Arial"/>
      <family val="2"/>
    </font>
    <font>
      <b/>
      <u/>
      <sz val="8"/>
      <name val="Arial"/>
      <family val="2"/>
    </font>
    <font>
      <b/>
      <sz val="12"/>
      <name val="Arial"/>
      <family val="2"/>
    </font>
    <font>
      <b/>
      <u/>
      <sz val="12"/>
      <name val="Arial"/>
      <family val="2"/>
    </font>
  </fonts>
  <fills count="11">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41"/>
        <bgColor indexed="64"/>
      </patternFill>
    </fill>
    <fill>
      <patternFill patternType="gray0625"/>
    </fill>
    <fill>
      <patternFill patternType="solid">
        <fgColor indexed="65"/>
        <bgColor indexed="64"/>
      </patternFill>
    </fill>
    <fill>
      <patternFill patternType="solid">
        <fgColor indexed="55"/>
        <bgColor indexed="64"/>
      </patternFill>
    </fill>
    <fill>
      <patternFill patternType="solid">
        <fgColor indexed="27"/>
        <bgColor indexed="64"/>
      </patternFill>
    </fill>
    <fill>
      <patternFill patternType="solid">
        <fgColor indexed="22"/>
        <bgColor indexed="64"/>
      </patternFill>
    </fill>
    <fill>
      <patternFill patternType="solid">
        <fgColor indexed="43"/>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ashed">
        <color indexed="64"/>
      </bottom>
      <diagonal/>
    </border>
  </borders>
  <cellStyleXfs count="5">
    <xf numFmtId="0" fontId="0"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alignment vertical="top"/>
      <protection locked="0"/>
    </xf>
    <xf numFmtId="43" fontId="1" fillId="0" borderId="0" applyFont="0" applyFill="0" applyBorder="0" applyAlignment="0" applyProtection="0"/>
  </cellStyleXfs>
  <cellXfs count="456">
    <xf numFmtId="0" fontId="0" fillId="0" borderId="0" xfId="0"/>
    <xf numFmtId="0" fontId="1" fillId="0" borderId="0" xfId="1"/>
    <xf numFmtId="0" fontId="1" fillId="2" borderId="0" xfId="1" applyFill="1"/>
    <xf numFmtId="0" fontId="2" fillId="2" borderId="0" xfId="1" applyFont="1" applyFill="1" applyAlignment="1">
      <alignment horizontal="center"/>
    </xf>
    <xf numFmtId="0" fontId="3" fillId="0" borderId="0" xfId="1" applyFont="1" applyAlignment="1">
      <alignment horizontal="right"/>
    </xf>
    <xf numFmtId="0" fontId="4" fillId="2" borderId="0" xfId="1" applyFont="1" applyFill="1"/>
    <xf numFmtId="0" fontId="5" fillId="0" borderId="0" xfId="1" applyFont="1" applyAlignment="1">
      <alignment horizontal="right"/>
    </xf>
    <xf numFmtId="0" fontId="6" fillId="2" borderId="0" xfId="1" applyFont="1" applyFill="1"/>
    <xf numFmtId="0" fontId="3" fillId="2" borderId="0" xfId="1" applyFont="1" applyFill="1" applyAlignment="1">
      <alignment horizontal="right"/>
    </xf>
    <xf numFmtId="164" fontId="6" fillId="2" borderId="0" xfId="1" applyNumberFormat="1" applyFont="1" applyFill="1"/>
    <xf numFmtId="0" fontId="5" fillId="2" borderId="0" xfId="1" applyFont="1" applyFill="1"/>
    <xf numFmtId="165" fontId="3" fillId="2" borderId="0" xfId="1" applyNumberFormat="1" applyFont="1" applyFill="1" applyAlignment="1">
      <alignment horizontal="right"/>
    </xf>
    <xf numFmtId="166" fontId="7" fillId="0" borderId="0" xfId="1" applyNumberFormat="1" applyFont="1" applyAlignment="1">
      <alignment horizontal="right"/>
    </xf>
    <xf numFmtId="165" fontId="3" fillId="2" borderId="0" xfId="1" applyNumberFormat="1" applyFont="1" applyFill="1" applyAlignment="1">
      <alignment horizontal="right"/>
    </xf>
    <xf numFmtId="0" fontId="8" fillId="3" borderId="1" xfId="1" applyFont="1" applyFill="1" applyBorder="1" applyAlignment="1">
      <alignment horizontal="left"/>
    </xf>
    <xf numFmtId="0" fontId="9" fillId="3" borderId="2" xfId="1" applyFont="1" applyFill="1" applyBorder="1"/>
    <xf numFmtId="0" fontId="1" fillId="3" borderId="2" xfId="1" applyFill="1" applyBorder="1"/>
    <xf numFmtId="0" fontId="1" fillId="3" borderId="3" xfId="1" applyFill="1" applyBorder="1"/>
    <xf numFmtId="0" fontId="1" fillId="2" borderId="4" xfId="1" applyFill="1" applyBorder="1"/>
    <xf numFmtId="167" fontId="0" fillId="4" borderId="4" xfId="2" applyNumberFormat="1" applyFont="1" applyFill="1" applyBorder="1" applyAlignment="1">
      <alignment horizontal="center"/>
    </xf>
    <xf numFmtId="0" fontId="1" fillId="4" borderId="0" xfId="1" applyFill="1"/>
    <xf numFmtId="0" fontId="1" fillId="4" borderId="5" xfId="1" applyFill="1" applyBorder="1"/>
    <xf numFmtId="167" fontId="1" fillId="4" borderId="4" xfId="2" applyNumberFormat="1" applyFont="1" applyFill="1" applyBorder="1" applyAlignment="1">
      <alignment horizontal="center"/>
    </xf>
    <xf numFmtId="0" fontId="10" fillId="4" borderId="0" xfId="1" applyFont="1" applyFill="1" applyAlignment="1">
      <alignment horizontal="right"/>
    </xf>
    <xf numFmtId="2" fontId="11" fillId="2" borderId="6" xfId="2" applyNumberFormat="1" applyFont="1" applyFill="1" applyBorder="1" applyAlignment="1" applyProtection="1">
      <alignment horizontal="right"/>
      <protection hidden="1"/>
    </xf>
    <xf numFmtId="0" fontId="10" fillId="4" borderId="0" xfId="1" applyFont="1" applyFill="1"/>
    <xf numFmtId="166" fontId="10" fillId="4" borderId="0" xfId="1" applyNumberFormat="1" applyFont="1" applyFill="1" applyAlignment="1">
      <alignment horizontal="right"/>
    </xf>
    <xf numFmtId="41" fontId="10" fillId="2" borderId="6" xfId="1" applyNumberFormat="1" applyFont="1" applyFill="1" applyBorder="1" applyProtection="1">
      <protection hidden="1"/>
    </xf>
    <xf numFmtId="164" fontId="3" fillId="4" borderId="0" xfId="1" applyNumberFormat="1" applyFont="1" applyFill="1" applyAlignment="1">
      <alignment horizontal="left"/>
    </xf>
    <xf numFmtId="168" fontId="13" fillId="4" borderId="5" xfId="1" applyNumberFormat="1" applyFont="1" applyFill="1" applyBorder="1" applyAlignment="1" applyProtection="1">
      <alignment horizontal="center"/>
      <protection hidden="1"/>
    </xf>
    <xf numFmtId="167" fontId="1" fillId="4" borderId="4" xfId="1" applyNumberFormat="1" applyFill="1" applyBorder="1" applyAlignment="1">
      <alignment horizontal="center"/>
    </xf>
    <xf numFmtId="0" fontId="12" fillId="4" borderId="0" xfId="1" applyFont="1" applyFill="1" applyAlignment="1">
      <alignment horizontal="right"/>
    </xf>
    <xf numFmtId="2" fontId="12" fillId="4" borderId="0" xfId="1" applyNumberFormat="1" applyFont="1" applyFill="1" applyProtection="1">
      <protection hidden="1"/>
    </xf>
    <xf numFmtId="0" fontId="12" fillId="4" borderId="0" xfId="1" applyFont="1" applyFill="1"/>
    <xf numFmtId="1" fontId="1" fillId="4" borderId="0" xfId="1" applyNumberFormat="1" applyFill="1"/>
    <xf numFmtId="10" fontId="3" fillId="4" borderId="0" xfId="1" applyNumberFormat="1" applyFont="1" applyFill="1" applyAlignment="1">
      <alignment horizontal="right"/>
    </xf>
    <xf numFmtId="168" fontId="11" fillId="4" borderId="0" xfId="2" applyNumberFormat="1" applyFont="1" applyFill="1" applyBorder="1" applyAlignment="1" applyProtection="1">
      <alignment horizontal="right"/>
      <protection hidden="1"/>
    </xf>
    <xf numFmtId="0" fontId="14" fillId="4" borderId="5" xfId="1" applyFont="1" applyFill="1" applyBorder="1" applyAlignment="1">
      <alignment horizontal="left"/>
    </xf>
    <xf numFmtId="0" fontId="15" fillId="4" borderId="0" xfId="1" applyFont="1" applyFill="1" applyAlignment="1">
      <alignment horizontal="right"/>
    </xf>
    <xf numFmtId="0" fontId="15" fillId="4" borderId="0" xfId="1" applyFont="1" applyFill="1"/>
    <xf numFmtId="167" fontId="1" fillId="4" borderId="4" xfId="1" applyNumberFormat="1" applyFill="1" applyBorder="1"/>
    <xf numFmtId="0" fontId="3" fillId="4" borderId="0" xfId="1" applyFont="1" applyFill="1" applyAlignment="1">
      <alignment horizontal="right"/>
    </xf>
    <xf numFmtId="41" fontId="3" fillId="4" borderId="0" xfId="1" applyNumberFormat="1" applyFont="1" applyFill="1"/>
    <xf numFmtId="41" fontId="3" fillId="4" borderId="0" xfId="1" applyNumberFormat="1" applyFont="1" applyFill="1" applyProtection="1">
      <protection hidden="1"/>
    </xf>
    <xf numFmtId="168" fontId="3" fillId="4" borderId="0" xfId="2" applyNumberFormat="1" applyFont="1" applyFill="1" applyBorder="1" applyAlignment="1" applyProtection="1">
      <alignment horizontal="center"/>
      <protection hidden="1"/>
    </xf>
    <xf numFmtId="41" fontId="3" fillId="4" borderId="0" xfId="1" applyNumberFormat="1" applyFont="1" applyFill="1" applyAlignment="1">
      <alignment horizontal="right"/>
    </xf>
    <xf numFmtId="0" fontId="3" fillId="4" borderId="5" xfId="1" applyFont="1" applyFill="1" applyBorder="1"/>
    <xf numFmtId="166" fontId="3" fillId="4" borderId="0" xfId="1" applyNumberFormat="1" applyFont="1" applyFill="1" applyAlignment="1">
      <alignment horizontal="right"/>
    </xf>
    <xf numFmtId="0" fontId="14" fillId="4" borderId="0" xfId="1" applyFont="1" applyFill="1"/>
    <xf numFmtId="0" fontId="1" fillId="4" borderId="4" xfId="1" applyFill="1" applyBorder="1"/>
    <xf numFmtId="41" fontId="16" fillId="4" borderId="0" xfId="1" applyNumberFormat="1" applyFont="1" applyFill="1" applyAlignment="1">
      <alignment horizontal="right"/>
    </xf>
    <xf numFmtId="168" fontId="15" fillId="4" borderId="0" xfId="2" applyNumberFormat="1" applyFont="1" applyFill="1" applyBorder="1" applyAlignment="1" applyProtection="1">
      <alignment horizontal="center"/>
      <protection hidden="1"/>
    </xf>
    <xf numFmtId="168" fontId="3" fillId="4" borderId="0" xfId="2" applyNumberFormat="1" applyFont="1" applyFill="1" applyBorder="1" applyAlignment="1">
      <alignment horizontal="right"/>
    </xf>
    <xf numFmtId="166" fontId="12" fillId="4" borderId="0" xfId="1" applyNumberFormat="1" applyFont="1" applyFill="1" applyAlignment="1">
      <alignment horizontal="right"/>
    </xf>
    <xf numFmtId="41" fontId="12" fillId="4" borderId="0" xfId="1" applyNumberFormat="1" applyFont="1" applyFill="1" applyProtection="1">
      <protection hidden="1"/>
    </xf>
    <xf numFmtId="168" fontId="12" fillId="4" borderId="0" xfId="2" applyNumberFormat="1" applyFont="1" applyFill="1" applyBorder="1" applyAlignment="1" applyProtection="1">
      <alignment horizontal="center"/>
      <protection hidden="1"/>
    </xf>
    <xf numFmtId="0" fontId="1" fillId="4" borderId="0" xfId="1" applyFill="1" applyAlignment="1">
      <alignment horizontal="right"/>
    </xf>
    <xf numFmtId="168" fontId="3" fillId="4" borderId="0" xfId="2" applyNumberFormat="1" applyFont="1" applyFill="1" applyBorder="1"/>
    <xf numFmtId="41" fontId="16" fillId="4" borderId="0" xfId="1" applyNumberFormat="1" applyFont="1" applyFill="1" applyAlignment="1" applyProtection="1">
      <alignment horizontal="right"/>
      <protection hidden="1"/>
    </xf>
    <xf numFmtId="168" fontId="17" fillId="4" borderId="0" xfId="2" applyNumberFormat="1" applyFont="1" applyFill="1" applyBorder="1" applyProtection="1">
      <protection hidden="1"/>
    </xf>
    <xf numFmtId="41" fontId="12" fillId="4" borderId="0" xfId="1" applyNumberFormat="1" applyFont="1" applyFill="1"/>
    <xf numFmtId="0" fontId="1" fillId="4" borderId="5" xfId="1" applyFill="1" applyBorder="1" applyAlignment="1">
      <alignment horizontal="right"/>
    </xf>
    <xf numFmtId="41" fontId="18" fillId="4" borderId="0" xfId="1" applyNumberFormat="1" applyFont="1" applyFill="1" applyProtection="1">
      <protection hidden="1"/>
    </xf>
    <xf numFmtId="1" fontId="12" fillId="4" borderId="0" xfId="1" applyNumberFormat="1" applyFont="1" applyFill="1"/>
    <xf numFmtId="169" fontId="1" fillId="4" borderId="4" xfId="1" applyNumberFormat="1" applyFill="1" applyBorder="1"/>
    <xf numFmtId="0" fontId="5" fillId="4" borderId="0" xfId="1" applyFont="1" applyFill="1" applyAlignment="1">
      <alignment horizontal="right"/>
    </xf>
    <xf numFmtId="0" fontId="5" fillId="4" borderId="0" xfId="1" applyFont="1" applyFill="1" applyAlignment="1" applyProtection="1">
      <alignment horizontal="right"/>
      <protection hidden="1"/>
    </xf>
    <xf numFmtId="0" fontId="3" fillId="4" borderId="0" xfId="1" applyFont="1" applyFill="1"/>
    <xf numFmtId="41" fontId="3" fillId="4" borderId="0" xfId="1" applyNumberFormat="1" applyFont="1" applyFill="1" applyAlignment="1" applyProtection="1">
      <alignment horizontal="right"/>
      <protection hidden="1"/>
    </xf>
    <xf numFmtId="0" fontId="3" fillId="4" borderId="4" xfId="1" applyFont="1" applyFill="1" applyBorder="1" applyAlignment="1">
      <alignment horizontal="right"/>
    </xf>
    <xf numFmtId="0" fontId="19" fillId="4" borderId="0" xfId="1" applyFont="1" applyFill="1" applyAlignment="1">
      <alignment horizontal="left"/>
    </xf>
    <xf numFmtId="41" fontId="3" fillId="4" borderId="0" xfId="1" applyNumberFormat="1" applyFont="1" applyFill="1" applyAlignment="1">
      <alignment horizontal="center"/>
    </xf>
    <xf numFmtId="0" fontId="20" fillId="4" borderId="0" xfId="1" applyFont="1" applyFill="1" applyAlignment="1">
      <alignment horizontal="right"/>
    </xf>
    <xf numFmtId="168" fontId="1" fillId="4" borderId="0" xfId="1" applyNumberFormat="1" applyFill="1" applyAlignment="1" applyProtection="1">
      <alignment horizontal="center"/>
      <protection locked="0"/>
    </xf>
    <xf numFmtId="168" fontId="3" fillId="4" borderId="0" xfId="1" applyNumberFormat="1" applyFont="1" applyFill="1" applyAlignment="1" applyProtection="1">
      <alignment horizontal="center"/>
      <protection locked="0"/>
    </xf>
    <xf numFmtId="0" fontId="3" fillId="4" borderId="0" xfId="1" applyFont="1" applyFill="1" applyAlignment="1">
      <alignment horizontal="left" vertical="top" wrapText="1"/>
    </xf>
    <xf numFmtId="0" fontId="3" fillId="4" borderId="5" xfId="1" applyFont="1" applyFill="1" applyBorder="1" applyAlignment="1">
      <alignment horizontal="left" vertical="top" wrapText="1"/>
    </xf>
    <xf numFmtId="168" fontId="21" fillId="4" borderId="7" xfId="1" applyNumberFormat="1" applyFont="1" applyFill="1" applyBorder="1" applyAlignment="1">
      <alignment horizontal="right"/>
    </xf>
    <xf numFmtId="0" fontId="21" fillId="4" borderId="8" xfId="1" applyFont="1" applyFill="1" applyBorder="1"/>
    <xf numFmtId="0" fontId="1" fillId="4" borderId="8" xfId="1" applyFill="1" applyBorder="1"/>
    <xf numFmtId="0" fontId="3" fillId="4" borderId="8" xfId="1" applyFont="1" applyFill="1" applyBorder="1"/>
    <xf numFmtId="0" fontId="20" fillId="4" borderId="8" xfId="1" applyFont="1" applyFill="1" applyBorder="1" applyAlignment="1">
      <alignment horizontal="right"/>
    </xf>
    <xf numFmtId="0" fontId="1" fillId="4" borderId="9" xfId="1" applyFill="1" applyBorder="1"/>
    <xf numFmtId="0" fontId="10" fillId="0" borderId="0" xfId="1" applyFont="1"/>
    <xf numFmtId="1" fontId="1" fillId="5" borderId="0" xfId="1" applyNumberFormat="1" applyFill="1"/>
    <xf numFmtId="168" fontId="0" fillId="0" borderId="0" xfId="2" applyNumberFormat="1" applyFont="1"/>
    <xf numFmtId="1" fontId="1" fillId="0" borderId="0" xfId="1" applyNumberFormat="1" applyAlignment="1">
      <alignment horizontal="center"/>
    </xf>
    <xf numFmtId="0" fontId="1" fillId="0" borderId="0" xfId="1" applyAlignment="1">
      <alignment horizontal="center"/>
    </xf>
    <xf numFmtId="0" fontId="1" fillId="6" borderId="0" xfId="1" applyFill="1"/>
    <xf numFmtId="0" fontId="22" fillId="2" borderId="0" xfId="1" applyFont="1" applyFill="1"/>
    <xf numFmtId="0" fontId="3" fillId="0" borderId="0" xfId="1" applyFont="1"/>
    <xf numFmtId="166" fontId="20" fillId="2" borderId="0" xfId="1" applyNumberFormat="1" applyFont="1" applyFill="1" applyAlignment="1">
      <alignment horizontal="left"/>
    </xf>
    <xf numFmtId="0" fontId="1" fillId="0" borderId="8" xfId="1" applyBorder="1"/>
    <xf numFmtId="165" fontId="3" fillId="2" borderId="8" xfId="1" applyNumberFormat="1" applyFont="1" applyFill="1" applyBorder="1" applyAlignment="1">
      <alignment horizontal="right"/>
    </xf>
    <xf numFmtId="0" fontId="23" fillId="3" borderId="1" xfId="1" applyFont="1" applyFill="1" applyBorder="1" applyAlignment="1">
      <alignment horizontal="left"/>
    </xf>
    <xf numFmtId="0" fontId="23" fillId="3" borderId="2" xfId="1" applyFont="1" applyFill="1" applyBorder="1" applyAlignment="1">
      <alignment horizontal="right"/>
    </xf>
    <xf numFmtId="0" fontId="23" fillId="3" borderId="2" xfId="1" applyFont="1" applyFill="1" applyBorder="1" applyAlignment="1">
      <alignment horizontal="left"/>
    </xf>
    <xf numFmtId="0" fontId="1" fillId="3" borderId="0" xfId="1" applyFill="1"/>
    <xf numFmtId="0" fontId="24" fillId="3" borderId="2" xfId="1" applyFont="1" applyFill="1" applyBorder="1" applyAlignment="1">
      <alignment horizontal="center"/>
    </xf>
    <xf numFmtId="0" fontId="25" fillId="3" borderId="3" xfId="1" applyFont="1" applyFill="1" applyBorder="1" applyAlignment="1">
      <alignment horizontal="center"/>
    </xf>
    <xf numFmtId="0" fontId="1" fillId="0" borderId="4" xfId="1" applyBorder="1"/>
    <xf numFmtId="0" fontId="6" fillId="4" borderId="4" xfId="1" applyFont="1" applyFill="1" applyBorder="1"/>
    <xf numFmtId="41" fontId="3" fillId="2" borderId="5" xfId="2" applyNumberFormat="1" applyFont="1" applyFill="1" applyBorder="1" applyProtection="1"/>
    <xf numFmtId="168" fontId="3" fillId="2" borderId="0" xfId="2" applyNumberFormat="1" applyFont="1" applyFill="1" applyBorder="1" applyAlignment="1" applyProtection="1">
      <alignment horizontal="center"/>
    </xf>
    <xf numFmtId="10" fontId="3" fillId="2" borderId="0" xfId="2" applyNumberFormat="1" applyFont="1" applyFill="1" applyBorder="1" applyAlignment="1" applyProtection="1">
      <alignment horizontal="center"/>
    </xf>
    <xf numFmtId="0" fontId="3" fillId="4" borderId="5" xfId="1" applyFont="1" applyFill="1" applyBorder="1" applyAlignment="1" applyProtection="1">
      <alignment horizontal="center"/>
      <protection hidden="1"/>
    </xf>
    <xf numFmtId="0" fontId="3" fillId="2" borderId="0" xfId="2" applyNumberFormat="1" applyFont="1" applyFill="1" applyBorder="1" applyAlignment="1" applyProtection="1">
      <alignment horizontal="left"/>
    </xf>
    <xf numFmtId="0" fontId="20" fillId="2" borderId="0" xfId="1" applyFont="1" applyFill="1"/>
    <xf numFmtId="41" fontId="3" fillId="2" borderId="5" xfId="1" applyNumberFormat="1" applyFont="1" applyFill="1" applyBorder="1"/>
    <xf numFmtId="0" fontId="26" fillId="4" borderId="4" xfId="1" applyFont="1" applyFill="1" applyBorder="1"/>
    <xf numFmtId="0" fontId="20" fillId="4" borderId="0" xfId="1" applyFont="1" applyFill="1"/>
    <xf numFmtId="41" fontId="3" fillId="2" borderId="5" xfId="1" applyNumberFormat="1" applyFont="1" applyFill="1" applyBorder="1" applyAlignment="1">
      <alignment horizontal="right"/>
    </xf>
    <xf numFmtId="0" fontId="3" fillId="2" borderId="5" xfId="1" applyFont="1" applyFill="1" applyBorder="1" applyAlignment="1">
      <alignment horizontal="center"/>
    </xf>
    <xf numFmtId="0" fontId="20" fillId="4" borderId="4" xfId="1" applyFont="1" applyFill="1" applyBorder="1"/>
    <xf numFmtId="164" fontId="20" fillId="4" borderId="0" xfId="1" applyNumberFormat="1" applyFont="1" applyFill="1"/>
    <xf numFmtId="0" fontId="1" fillId="4" borderId="0" xfId="1" applyFill="1" applyAlignment="1">
      <alignment horizontal="left"/>
    </xf>
    <xf numFmtId="41" fontId="3" fillId="4" borderId="5" xfId="1" applyNumberFormat="1" applyFont="1" applyFill="1" applyBorder="1" applyProtection="1">
      <protection hidden="1"/>
    </xf>
    <xf numFmtId="164" fontId="3" fillId="2" borderId="0" xfId="1" applyNumberFormat="1" applyFont="1" applyFill="1" applyAlignment="1">
      <alignment horizontal="center"/>
    </xf>
    <xf numFmtId="169" fontId="19" fillId="4" borderId="0" xfId="1" applyNumberFormat="1" applyFont="1" applyFill="1" applyAlignment="1">
      <alignment horizontal="left"/>
    </xf>
    <xf numFmtId="0" fontId="1" fillId="4" borderId="5" xfId="1" applyFill="1" applyBorder="1" applyAlignment="1">
      <alignment horizontal="center"/>
    </xf>
    <xf numFmtId="0" fontId="20" fillId="4" borderId="4" xfId="1" applyFont="1" applyFill="1" applyBorder="1" applyAlignment="1">
      <alignment horizontal="center"/>
    </xf>
    <xf numFmtId="1" fontId="3" fillId="2" borderId="0" xfId="1" applyNumberFormat="1" applyFont="1" applyFill="1" applyAlignment="1">
      <alignment horizontal="center"/>
    </xf>
    <xf numFmtId="168" fontId="3" fillId="4" borderId="5" xfId="2" applyNumberFormat="1" applyFont="1" applyFill="1" applyBorder="1" applyProtection="1">
      <protection hidden="1"/>
    </xf>
    <xf numFmtId="164" fontId="20" fillId="4" borderId="0" xfId="1" applyNumberFormat="1" applyFont="1" applyFill="1" applyAlignment="1">
      <alignment horizontal="right"/>
    </xf>
    <xf numFmtId="10" fontId="3" fillId="2" borderId="6" xfId="2" applyNumberFormat="1" applyFont="1" applyFill="1" applyBorder="1" applyAlignment="1" applyProtection="1">
      <alignment horizontal="center"/>
    </xf>
    <xf numFmtId="0" fontId="14" fillId="4" borderId="0" xfId="1" applyFont="1" applyFill="1" applyAlignment="1">
      <alignment horizontal="left"/>
    </xf>
    <xf numFmtId="164" fontId="27" fillId="4" borderId="0" xfId="3" applyNumberFormat="1" applyFill="1" applyBorder="1" applyAlignment="1" applyProtection="1">
      <alignment horizontal="center"/>
    </xf>
    <xf numFmtId="0" fontId="1" fillId="4" borderId="7" xfId="1" applyFill="1" applyBorder="1"/>
    <xf numFmtId="1" fontId="3" fillId="2" borderId="8" xfId="1" applyNumberFormat="1" applyFont="1" applyFill="1" applyBorder="1" applyAlignment="1">
      <alignment horizontal="center"/>
    </xf>
    <xf numFmtId="0" fontId="20" fillId="4" borderId="8" xfId="1" applyFont="1" applyFill="1" applyBorder="1"/>
    <xf numFmtId="0" fontId="20" fillId="4" borderId="5" xfId="1" applyFont="1" applyFill="1" applyBorder="1"/>
    <xf numFmtId="0" fontId="20" fillId="4" borderId="4" xfId="1" applyFont="1" applyFill="1" applyBorder="1" applyAlignment="1">
      <alignment horizontal="right"/>
    </xf>
    <xf numFmtId="2" fontId="3" fillId="2" borderId="0" xfId="1" applyNumberFormat="1" applyFont="1" applyFill="1" applyAlignment="1">
      <alignment horizontal="center"/>
    </xf>
    <xf numFmtId="1" fontId="1" fillId="2" borderId="0" xfId="1" applyNumberFormat="1" applyFill="1" applyAlignment="1">
      <alignment horizontal="center"/>
    </xf>
    <xf numFmtId="41" fontId="3" fillId="0" borderId="5" xfId="1" applyNumberFormat="1" applyFont="1" applyBorder="1" applyAlignment="1">
      <alignment horizontal="center"/>
    </xf>
    <xf numFmtId="0" fontId="5" fillId="4" borderId="0" xfId="1" applyFont="1" applyFill="1"/>
    <xf numFmtId="167" fontId="1" fillId="4" borderId="0" xfId="1" applyNumberFormat="1" applyFill="1" applyAlignment="1">
      <alignment horizontal="center"/>
    </xf>
    <xf numFmtId="167" fontId="20" fillId="4" borderId="0" xfId="1" applyNumberFormat="1" applyFont="1" applyFill="1" applyAlignment="1">
      <alignment horizontal="center"/>
    </xf>
    <xf numFmtId="0" fontId="23" fillId="3" borderId="4" xfId="1" applyFont="1" applyFill="1" applyBorder="1" applyAlignment="1">
      <alignment horizontal="left"/>
    </xf>
    <xf numFmtId="0" fontId="9" fillId="3" borderId="0" xfId="1" applyFont="1" applyFill="1"/>
    <xf numFmtId="0" fontId="23" fillId="3" borderId="0" xfId="1" applyFont="1" applyFill="1" applyAlignment="1">
      <alignment horizontal="right"/>
    </xf>
    <xf numFmtId="0" fontId="1" fillId="3" borderId="5" xfId="1" applyFill="1" applyBorder="1"/>
    <xf numFmtId="0" fontId="23" fillId="3" borderId="0" xfId="1" applyFont="1" applyFill="1" applyAlignment="1">
      <alignment horizontal="left"/>
    </xf>
    <xf numFmtId="0" fontId="24" fillId="3" borderId="0" xfId="1" applyFont="1" applyFill="1" applyAlignment="1">
      <alignment horizontal="center"/>
    </xf>
    <xf numFmtId="0" fontId="24" fillId="3" borderId="5" xfId="1" applyFont="1" applyFill="1" applyBorder="1" applyAlignment="1">
      <alignment horizontal="center"/>
    </xf>
    <xf numFmtId="0" fontId="3" fillId="4" borderId="4" xfId="1" applyFont="1" applyFill="1" applyBorder="1" applyAlignment="1">
      <alignment horizontal="left"/>
    </xf>
    <xf numFmtId="10" fontId="3" fillId="0" borderId="0" xfId="2" applyNumberFormat="1" applyFont="1" applyFill="1" applyBorder="1" applyAlignment="1">
      <alignment horizontal="center"/>
    </xf>
    <xf numFmtId="41" fontId="3" fillId="2" borderId="5" xfId="2" applyNumberFormat="1" applyFont="1" applyFill="1" applyBorder="1" applyAlignment="1" applyProtection="1">
      <alignment horizontal="right"/>
    </xf>
    <xf numFmtId="166" fontId="20" fillId="4" borderId="0" xfId="1" applyNumberFormat="1" applyFont="1" applyFill="1" applyAlignment="1">
      <alignment horizontal="right"/>
    </xf>
    <xf numFmtId="41" fontId="3" fillId="2" borderId="6" xfId="1" applyNumberFormat="1" applyFont="1" applyFill="1" applyBorder="1" applyAlignment="1">
      <alignment horizontal="center"/>
    </xf>
    <xf numFmtId="1" fontId="3" fillId="2" borderId="5" xfId="1" applyNumberFormat="1" applyFont="1" applyFill="1" applyBorder="1" applyAlignment="1">
      <alignment horizontal="center"/>
    </xf>
    <xf numFmtId="0" fontId="23" fillId="3" borderId="0" xfId="1" applyFont="1" applyFill="1"/>
    <xf numFmtId="41" fontId="3" fillId="2" borderId="5" xfId="4" applyNumberFormat="1" applyFont="1" applyFill="1" applyBorder="1" applyAlignment="1" applyProtection="1">
      <alignment horizontal="right"/>
    </xf>
    <xf numFmtId="41" fontId="3" fillId="2" borderId="0" xfId="1" applyNumberFormat="1" applyFont="1" applyFill="1" applyAlignment="1">
      <alignment horizontal="center"/>
    </xf>
    <xf numFmtId="167" fontId="3" fillId="7" borderId="4" xfId="1" applyNumberFormat="1" applyFont="1" applyFill="1" applyBorder="1"/>
    <xf numFmtId="0" fontId="3" fillId="7" borderId="0" xfId="1" applyFont="1" applyFill="1"/>
    <xf numFmtId="0" fontId="5" fillId="7" borderId="0" xfId="1" applyFont="1" applyFill="1" applyAlignment="1">
      <alignment horizontal="right"/>
    </xf>
    <xf numFmtId="10" fontId="3" fillId="0" borderId="0" xfId="2" applyNumberFormat="1" applyFont="1" applyAlignment="1">
      <alignment horizontal="center"/>
    </xf>
    <xf numFmtId="0" fontId="3" fillId="0" borderId="0" xfId="1" applyFont="1" applyAlignment="1">
      <alignment horizontal="center"/>
    </xf>
    <xf numFmtId="0" fontId="20" fillId="7" borderId="4" xfId="1" applyFont="1" applyFill="1" applyBorder="1" applyAlignment="1">
      <alignment horizontal="right"/>
    </xf>
    <xf numFmtId="0" fontId="20" fillId="7" borderId="0" xfId="1" applyFont="1" applyFill="1" applyAlignment="1">
      <alignment horizontal="right"/>
    </xf>
    <xf numFmtId="41" fontId="3" fillId="7" borderId="0" xfId="1" applyNumberFormat="1" applyFont="1" applyFill="1" applyAlignment="1">
      <alignment horizontal="center"/>
    </xf>
    <xf numFmtId="10" fontId="3" fillId="7" borderId="0" xfId="2" applyNumberFormat="1" applyFont="1" applyFill="1" applyBorder="1" applyAlignment="1">
      <alignment horizontal="center"/>
    </xf>
    <xf numFmtId="10" fontId="3" fillId="4" borderId="0" xfId="2" applyNumberFormat="1" applyFont="1" applyFill="1" applyBorder="1" applyAlignment="1">
      <alignment horizontal="center"/>
    </xf>
    <xf numFmtId="0" fontId="3" fillId="2" borderId="0" xfId="1" applyFont="1" applyFill="1" applyAlignment="1">
      <alignment horizontal="center"/>
    </xf>
    <xf numFmtId="41" fontId="15" fillId="7" borderId="0" xfId="1" applyNumberFormat="1" applyFont="1" applyFill="1" applyAlignment="1">
      <alignment horizontal="center"/>
    </xf>
    <xf numFmtId="0" fontId="3" fillId="7" borderId="0" xfId="1" applyFont="1" applyFill="1" applyAlignment="1">
      <alignment horizontal="left"/>
    </xf>
    <xf numFmtId="0" fontId="3" fillId="7" borderId="0" xfId="1" applyFont="1" applyFill="1" applyAlignment="1">
      <alignment horizontal="center"/>
    </xf>
    <xf numFmtId="2" fontId="3" fillId="2" borderId="6" xfId="1" applyNumberFormat="1" applyFont="1" applyFill="1" applyBorder="1" applyAlignment="1">
      <alignment horizontal="center"/>
    </xf>
    <xf numFmtId="41" fontId="3" fillId="2" borderId="0" xfId="2" applyNumberFormat="1" applyFont="1" applyFill="1" applyBorder="1" applyAlignment="1" applyProtection="1">
      <alignment horizontal="right"/>
    </xf>
    <xf numFmtId="0" fontId="8" fillId="3" borderId="0" xfId="1" applyFont="1" applyFill="1" applyAlignment="1">
      <alignment horizontal="right"/>
    </xf>
    <xf numFmtId="0" fontId="3" fillId="4" borderId="4" xfId="1" applyFont="1" applyFill="1" applyBorder="1"/>
    <xf numFmtId="41" fontId="3" fillId="2" borderId="9" xfId="2" applyNumberFormat="1" applyFont="1" applyFill="1" applyBorder="1" applyAlignment="1" applyProtection="1">
      <alignment horizontal="right"/>
    </xf>
    <xf numFmtId="0" fontId="1" fillId="4" borderId="0" xfId="1" applyFill="1" applyAlignment="1">
      <alignment horizontal="center"/>
    </xf>
    <xf numFmtId="167" fontId="3" fillId="7" borderId="10" xfId="1" applyNumberFormat="1" applyFont="1" applyFill="1" applyBorder="1" applyAlignment="1">
      <alignment horizontal="center"/>
    </xf>
    <xf numFmtId="0" fontId="20" fillId="7" borderId="11" xfId="1" applyFont="1" applyFill="1" applyBorder="1" applyAlignment="1">
      <alignment horizontal="right"/>
    </xf>
    <xf numFmtId="41" fontId="3" fillId="7" borderId="11" xfId="1" applyNumberFormat="1" applyFont="1" applyFill="1" applyBorder="1" applyAlignment="1">
      <alignment horizontal="center"/>
    </xf>
    <xf numFmtId="10" fontId="3" fillId="7" borderId="11" xfId="2" applyNumberFormat="1" applyFont="1" applyFill="1" applyBorder="1" applyAlignment="1">
      <alignment horizontal="center"/>
    </xf>
    <xf numFmtId="1" fontId="3" fillId="7" borderId="11" xfId="1" applyNumberFormat="1" applyFont="1" applyFill="1" applyBorder="1" applyAlignment="1">
      <alignment horizontal="center"/>
    </xf>
    <xf numFmtId="0" fontId="1" fillId="4" borderId="4" xfId="1" quotePrefix="1" applyFill="1" applyBorder="1" applyAlignment="1">
      <alignment horizontal="right"/>
    </xf>
    <xf numFmtId="1" fontId="3" fillId="4" borderId="5" xfId="1" applyNumberFormat="1" applyFont="1" applyFill="1" applyBorder="1" applyAlignment="1">
      <alignment horizontal="right"/>
    </xf>
    <xf numFmtId="10" fontId="3" fillId="2" borderId="0" xfId="2" applyNumberFormat="1" applyFont="1" applyFill="1" applyBorder="1" applyAlignment="1">
      <alignment horizontal="center"/>
    </xf>
    <xf numFmtId="167" fontId="20" fillId="7" borderId="12" xfId="1" applyNumberFormat="1" applyFont="1" applyFill="1" applyBorder="1" applyAlignment="1">
      <alignment horizontal="center"/>
    </xf>
    <xf numFmtId="0" fontId="20" fillId="7" borderId="0" xfId="1" applyFont="1" applyFill="1" applyAlignment="1">
      <alignment horizontal="center"/>
    </xf>
    <xf numFmtId="0" fontId="20" fillId="7" borderId="13" xfId="1" applyFont="1" applyFill="1" applyBorder="1" applyAlignment="1">
      <alignment horizontal="center"/>
    </xf>
    <xf numFmtId="0" fontId="20" fillId="7" borderId="12" xfId="1" applyFont="1" applyFill="1" applyBorder="1" applyAlignment="1">
      <alignment horizontal="center"/>
    </xf>
    <xf numFmtId="0" fontId="20" fillId="7" borderId="12" xfId="1" applyFont="1" applyFill="1" applyBorder="1" applyAlignment="1">
      <alignment horizontal="right"/>
    </xf>
    <xf numFmtId="1" fontId="3" fillId="7" borderId="0" xfId="1" applyNumberFormat="1" applyFont="1" applyFill="1" applyAlignment="1">
      <alignment horizontal="center"/>
    </xf>
    <xf numFmtId="168" fontId="1" fillId="4" borderId="0" xfId="1" applyNumberFormat="1" applyFill="1" applyAlignment="1" applyProtection="1">
      <alignment horizontal="left"/>
      <protection locked="0"/>
    </xf>
    <xf numFmtId="168" fontId="20" fillId="4" borderId="0" xfId="2" applyNumberFormat="1" applyFont="1" applyFill="1" applyBorder="1" applyAlignment="1" applyProtection="1">
      <alignment horizontal="right"/>
      <protection locked="0"/>
    </xf>
    <xf numFmtId="168" fontId="20" fillId="4" borderId="4" xfId="2" applyNumberFormat="1" applyFont="1" applyFill="1" applyBorder="1" applyAlignment="1" applyProtection="1">
      <alignment horizontal="right"/>
    </xf>
    <xf numFmtId="10" fontId="3" fillId="2" borderId="5" xfId="2" applyNumberFormat="1" applyFont="1" applyFill="1" applyBorder="1" applyAlignment="1" applyProtection="1">
      <alignment horizontal="right"/>
    </xf>
    <xf numFmtId="167" fontId="3" fillId="7" borderId="12" xfId="1" applyNumberFormat="1" applyFont="1" applyFill="1" applyBorder="1" applyAlignment="1">
      <alignment horizontal="center"/>
    </xf>
    <xf numFmtId="10" fontId="3" fillId="7" borderId="0" xfId="1" applyNumberFormat="1" applyFont="1" applyFill="1" applyAlignment="1">
      <alignment horizontal="center"/>
    </xf>
    <xf numFmtId="168" fontId="3" fillId="2" borderId="5" xfId="2" applyNumberFormat="1" applyFont="1" applyFill="1" applyBorder="1" applyAlignment="1" applyProtection="1">
      <alignment horizontal="right"/>
    </xf>
    <xf numFmtId="168" fontId="20" fillId="4" borderId="0" xfId="2" applyNumberFormat="1" applyFont="1" applyFill="1" applyBorder="1" applyAlignment="1" applyProtection="1">
      <alignment horizontal="right"/>
    </xf>
    <xf numFmtId="10" fontId="3" fillId="2" borderId="0" xfId="2" applyNumberFormat="1" applyFont="1" applyFill="1" applyBorder="1" applyAlignment="1" applyProtection="1">
      <alignment horizontal="right"/>
    </xf>
    <xf numFmtId="0" fontId="20" fillId="7" borderId="10" xfId="1" applyFont="1" applyFill="1" applyBorder="1" applyAlignment="1">
      <alignment horizontal="right"/>
    </xf>
    <xf numFmtId="0" fontId="20" fillId="7" borderId="14" xfId="1" applyFont="1" applyFill="1" applyBorder="1" applyAlignment="1">
      <alignment horizontal="right"/>
    </xf>
    <xf numFmtId="10" fontId="3" fillId="7" borderId="15" xfId="2" applyNumberFormat="1" applyFont="1" applyFill="1" applyBorder="1" applyAlignment="1">
      <alignment horizontal="center"/>
    </xf>
    <xf numFmtId="0" fontId="8" fillId="3" borderId="4" xfId="1" applyFont="1" applyFill="1" applyBorder="1"/>
    <xf numFmtId="0" fontId="23" fillId="3" borderId="0" xfId="1" applyFont="1" applyFill="1" applyAlignment="1">
      <alignment horizontal="center"/>
    </xf>
    <xf numFmtId="41" fontId="3" fillId="7" borderId="0" xfId="1" applyNumberFormat="1" applyFont="1" applyFill="1" applyAlignment="1">
      <alignment horizontal="right"/>
    </xf>
    <xf numFmtId="167" fontId="1" fillId="7" borderId="0" xfId="1" applyNumberFormat="1" applyFill="1" applyAlignment="1">
      <alignment horizontal="center"/>
    </xf>
    <xf numFmtId="168" fontId="3" fillId="4" borderId="8" xfId="2" applyNumberFormat="1" applyFont="1" applyFill="1" applyBorder="1" applyAlignment="1">
      <alignment horizontal="right"/>
    </xf>
    <xf numFmtId="168" fontId="3" fillId="7" borderId="11" xfId="2" applyNumberFormat="1" applyFont="1" applyFill="1" applyBorder="1" applyAlignment="1">
      <alignment horizontal="right"/>
    </xf>
    <xf numFmtId="167" fontId="1" fillId="7" borderId="11" xfId="2" applyNumberFormat="1" applyFont="1" applyFill="1" applyBorder="1" applyAlignment="1">
      <alignment horizontal="center"/>
    </xf>
    <xf numFmtId="41" fontId="3" fillId="4" borderId="0" xfId="1" applyNumberFormat="1" applyFont="1" applyFill="1" applyAlignment="1">
      <alignment horizontal="right" wrapText="1"/>
    </xf>
    <xf numFmtId="168" fontId="11" fillId="4" borderId="0" xfId="2" applyNumberFormat="1" applyFont="1" applyFill="1" applyBorder="1" applyProtection="1">
      <protection hidden="1"/>
    </xf>
    <xf numFmtId="168" fontId="3" fillId="4" borderId="8" xfId="1" applyNumberFormat="1" applyFont="1" applyFill="1" applyBorder="1" applyAlignment="1">
      <alignment horizontal="right"/>
    </xf>
    <xf numFmtId="168" fontId="3" fillId="7" borderId="11" xfId="1" applyNumberFormat="1" applyFont="1" applyFill="1" applyBorder="1" applyAlignment="1">
      <alignment horizontal="right"/>
    </xf>
    <xf numFmtId="167" fontId="1" fillId="7" borderId="11" xfId="1" applyNumberFormat="1" applyFill="1" applyBorder="1" applyAlignment="1">
      <alignment horizontal="center"/>
    </xf>
    <xf numFmtId="1" fontId="10" fillId="4" borderId="0" xfId="1" applyNumberFormat="1" applyFont="1" applyFill="1" applyAlignment="1" applyProtection="1">
      <alignment horizontal="right"/>
      <protection hidden="1"/>
    </xf>
    <xf numFmtId="164" fontId="3" fillId="4" borderId="8" xfId="1" applyNumberFormat="1" applyFont="1" applyFill="1" applyBorder="1"/>
    <xf numFmtId="164" fontId="3" fillId="7" borderId="11" xfId="1" applyNumberFormat="1" applyFont="1" applyFill="1" applyBorder="1" applyAlignment="1">
      <alignment horizontal="right"/>
    </xf>
    <xf numFmtId="168" fontId="3" fillId="4" borderId="8" xfId="2" applyNumberFormat="1" applyFont="1" applyFill="1" applyBorder="1"/>
    <xf numFmtId="0" fontId="3" fillId="4" borderId="8" xfId="1" applyFont="1" applyFill="1" applyBorder="1" applyAlignment="1">
      <alignment horizontal="right" wrapText="1"/>
    </xf>
    <xf numFmtId="0" fontId="20" fillId="4" borderId="0" xfId="1" applyFont="1" applyFill="1" applyAlignment="1">
      <alignment horizontal="left"/>
    </xf>
    <xf numFmtId="41" fontId="3" fillId="4" borderId="16" xfId="1" applyNumberFormat="1" applyFont="1" applyFill="1" applyBorder="1" applyAlignment="1">
      <alignment horizontal="right"/>
    </xf>
    <xf numFmtId="41" fontId="3" fillId="7" borderId="8" xfId="1" applyNumberFormat="1" applyFont="1" applyFill="1" applyBorder="1" applyAlignment="1">
      <alignment horizontal="right"/>
    </xf>
    <xf numFmtId="167" fontId="1" fillId="7" borderId="8" xfId="1" applyNumberFormat="1" applyFill="1" applyBorder="1" applyAlignment="1">
      <alignment horizontal="center"/>
    </xf>
    <xf numFmtId="41" fontId="3" fillId="7" borderId="16" xfId="1" applyNumberFormat="1" applyFont="1" applyFill="1" applyBorder="1" applyAlignment="1" applyProtection="1">
      <alignment horizontal="right"/>
      <protection locked="0"/>
    </xf>
    <xf numFmtId="1" fontId="3" fillId="7" borderId="8" xfId="1" applyNumberFormat="1" applyFont="1" applyFill="1" applyBorder="1" applyAlignment="1">
      <alignment horizontal="center"/>
    </xf>
    <xf numFmtId="1" fontId="1" fillId="7" borderId="8" xfId="1" applyNumberFormat="1" applyFill="1" applyBorder="1" applyAlignment="1">
      <alignment horizontal="center"/>
    </xf>
    <xf numFmtId="1" fontId="1" fillId="4" borderId="0" xfId="1" applyNumberFormat="1" applyFill="1" applyAlignment="1">
      <alignment horizontal="left"/>
    </xf>
    <xf numFmtId="1" fontId="1" fillId="4" borderId="5" xfId="1" applyNumberFormat="1" applyFill="1" applyBorder="1" applyAlignment="1">
      <alignment horizontal="left"/>
    </xf>
    <xf numFmtId="168" fontId="20" fillId="4" borderId="4" xfId="2" applyNumberFormat="1" applyFont="1" applyFill="1" applyBorder="1" applyAlignment="1">
      <alignment horizontal="center"/>
    </xf>
    <xf numFmtId="1" fontId="21" fillId="4" borderId="7" xfId="1" applyNumberFormat="1" applyFont="1" applyFill="1" applyBorder="1" applyAlignment="1" applyProtection="1">
      <alignment horizontal="right"/>
      <protection hidden="1"/>
    </xf>
    <xf numFmtId="1" fontId="10" fillId="4" borderId="8" xfId="1" applyNumberFormat="1" applyFont="1" applyFill="1" applyBorder="1" applyAlignment="1" applyProtection="1">
      <alignment horizontal="right"/>
      <protection hidden="1"/>
    </xf>
    <xf numFmtId="1" fontId="1" fillId="4" borderId="8" xfId="1" applyNumberFormat="1" applyFill="1" applyBorder="1" applyAlignment="1">
      <alignment horizontal="left"/>
    </xf>
    <xf numFmtId="1" fontId="1" fillId="4" borderId="9" xfId="1" applyNumberFormat="1" applyFill="1" applyBorder="1" applyAlignment="1">
      <alignment horizontal="left"/>
    </xf>
    <xf numFmtId="1" fontId="10" fillId="2" borderId="0" xfId="1" applyNumberFormat="1" applyFont="1" applyFill="1" applyAlignment="1">
      <alignment horizontal="right"/>
    </xf>
    <xf numFmtId="0" fontId="1" fillId="2" borderId="0" xfId="1" applyFill="1" applyAlignment="1">
      <alignment horizontal="right"/>
    </xf>
    <xf numFmtId="1" fontId="10" fillId="2" borderId="0" xfId="1" applyNumberFormat="1" applyFont="1" applyFill="1" applyProtection="1">
      <protection hidden="1"/>
    </xf>
    <xf numFmtId="1" fontId="1" fillId="0" borderId="0" xfId="1" applyNumberFormat="1"/>
    <xf numFmtId="170" fontId="1" fillId="0" borderId="0" xfId="1" applyNumberFormat="1"/>
    <xf numFmtId="167" fontId="1" fillId="0" borderId="0" xfId="1" applyNumberFormat="1"/>
    <xf numFmtId="10" fontId="3" fillId="0" borderId="0" xfId="1" applyNumberFormat="1" applyFont="1"/>
    <xf numFmtId="0" fontId="22" fillId="0" borderId="0" xfId="1" applyFont="1"/>
    <xf numFmtId="0" fontId="4" fillId="0" borderId="0" xfId="1" applyFont="1" applyAlignment="1">
      <alignment horizontal="left"/>
    </xf>
    <xf numFmtId="164" fontId="1" fillId="0" borderId="0" xfId="1" applyNumberFormat="1" applyProtection="1">
      <protection hidden="1"/>
    </xf>
    <xf numFmtId="0" fontId="1" fillId="0" borderId="0" xfId="1" applyAlignment="1">
      <alignment horizontal="right"/>
    </xf>
    <xf numFmtId="0" fontId="5" fillId="0" borderId="0" xfId="1" applyFont="1" applyAlignment="1">
      <alignment horizontal="left"/>
    </xf>
    <xf numFmtId="0" fontId="5" fillId="0" borderId="0" xfId="1" applyFont="1"/>
    <xf numFmtId="164" fontId="20" fillId="0" borderId="0" xfId="1" applyNumberFormat="1" applyFont="1" applyProtection="1">
      <protection hidden="1"/>
    </xf>
    <xf numFmtId="0" fontId="20" fillId="0" borderId="0" xfId="1" applyFont="1"/>
    <xf numFmtId="166" fontId="1" fillId="0" borderId="0" xfId="1" applyNumberFormat="1" applyAlignment="1">
      <alignment horizontal="left"/>
    </xf>
    <xf numFmtId="164" fontId="1" fillId="0" borderId="0" xfId="1" applyNumberFormat="1"/>
    <xf numFmtId="165" fontId="3" fillId="0" borderId="0" xfId="1" applyNumberFormat="1" applyFont="1" applyAlignment="1">
      <alignment horizontal="right"/>
    </xf>
    <xf numFmtId="0" fontId="8" fillId="3" borderId="0" xfId="1" applyFont="1" applyFill="1"/>
    <xf numFmtId="0" fontId="8" fillId="3" borderId="0" xfId="1" applyFont="1" applyFill="1" applyAlignment="1">
      <alignment horizontal="left"/>
    </xf>
    <xf numFmtId="168" fontId="1" fillId="4" borderId="0" xfId="1" applyNumberFormat="1" applyFill="1"/>
    <xf numFmtId="168" fontId="20" fillId="4" borderId="0" xfId="1" applyNumberFormat="1" applyFont="1" applyFill="1"/>
    <xf numFmtId="168" fontId="1" fillId="4" borderId="0" xfId="1" applyNumberFormat="1" applyFill="1" applyAlignment="1" applyProtection="1">
      <alignment horizontal="right"/>
      <protection hidden="1"/>
    </xf>
    <xf numFmtId="168" fontId="3" fillId="4" borderId="0" xfId="1" applyNumberFormat="1" applyFont="1" applyFill="1"/>
    <xf numFmtId="164" fontId="3" fillId="4" borderId="0" xfId="1" applyNumberFormat="1" applyFont="1" applyFill="1" applyProtection="1">
      <protection hidden="1"/>
    </xf>
    <xf numFmtId="168" fontId="28" fillId="4" borderId="0" xfId="2" applyNumberFormat="1" applyFont="1" applyFill="1" applyProtection="1">
      <protection hidden="1"/>
    </xf>
    <xf numFmtId="164" fontId="1" fillId="4" borderId="0" xfId="1" applyNumberFormat="1" applyFill="1"/>
    <xf numFmtId="168" fontId="10" fillId="4" borderId="0" xfId="1" applyNumberFormat="1" applyFont="1" applyFill="1"/>
    <xf numFmtId="168" fontId="28" fillId="4" borderId="0" xfId="1" applyNumberFormat="1" applyFont="1" applyFill="1" applyProtection="1">
      <protection hidden="1"/>
    </xf>
    <xf numFmtId="168" fontId="6" fillId="4" borderId="0" xfId="1" applyNumberFormat="1" applyFont="1" applyFill="1" applyAlignment="1">
      <alignment horizontal="right"/>
    </xf>
    <xf numFmtId="164" fontId="1" fillId="4" borderId="0" xfId="1" applyNumberFormat="1" applyFill="1" applyAlignment="1">
      <alignment horizontal="center"/>
    </xf>
    <xf numFmtId="168" fontId="20" fillId="4" borderId="0" xfId="1" applyNumberFormat="1" applyFont="1" applyFill="1" applyAlignment="1">
      <alignment horizontal="right"/>
    </xf>
    <xf numFmtId="168" fontId="1" fillId="4" borderId="0" xfId="1" applyNumberFormat="1" applyFill="1" applyAlignment="1">
      <alignment horizontal="right"/>
    </xf>
    <xf numFmtId="1" fontId="1" fillId="4" borderId="0" xfId="1" applyNumberFormat="1" applyFill="1" applyProtection="1">
      <protection hidden="1"/>
    </xf>
    <xf numFmtId="168" fontId="5" fillId="4" borderId="0" xfId="1" applyNumberFormat="1" applyFont="1" applyFill="1" applyAlignment="1">
      <alignment horizontal="right"/>
    </xf>
    <xf numFmtId="0" fontId="29" fillId="4" borderId="0" xfId="1" applyFont="1" applyFill="1"/>
    <xf numFmtId="168" fontId="30" fillId="4" borderId="0" xfId="1" applyNumberFormat="1" applyFont="1" applyFill="1" applyAlignment="1">
      <alignment horizontal="right"/>
    </xf>
    <xf numFmtId="41" fontId="18" fillId="4" borderId="0" xfId="1" applyNumberFormat="1" applyFont="1" applyFill="1" applyAlignment="1" applyProtection="1">
      <alignment horizontal="right"/>
      <protection hidden="1"/>
    </xf>
    <xf numFmtId="1" fontId="21" fillId="4" borderId="0" xfId="1" applyNumberFormat="1" applyFont="1" applyFill="1" applyAlignment="1">
      <alignment horizontal="right"/>
    </xf>
    <xf numFmtId="0" fontId="21" fillId="4" borderId="0" xfId="1" applyFont="1" applyFill="1"/>
    <xf numFmtId="164" fontId="3" fillId="0" borderId="0" xfId="1" applyNumberFormat="1" applyFont="1" applyAlignment="1">
      <alignment horizontal="right"/>
    </xf>
    <xf numFmtId="164" fontId="5" fillId="0" borderId="0" xfId="1" applyNumberFormat="1" applyFont="1"/>
    <xf numFmtId="164" fontId="20" fillId="0" borderId="0" xfId="1" applyNumberFormat="1" applyFont="1"/>
    <xf numFmtId="0" fontId="7" fillId="4" borderId="0" xfId="1" applyFont="1" applyFill="1"/>
    <xf numFmtId="166" fontId="1" fillId="4" borderId="0" xfId="1" applyNumberFormat="1" applyFill="1" applyAlignment="1">
      <alignment horizontal="right"/>
    </xf>
    <xf numFmtId="0" fontId="27" fillId="4" borderId="0" xfId="3" applyFill="1" applyAlignment="1" applyProtection="1"/>
    <xf numFmtId="164" fontId="1" fillId="4" borderId="0" xfId="1" applyNumberFormat="1" applyFill="1" applyAlignment="1" applyProtection="1">
      <alignment horizontal="center"/>
      <protection hidden="1"/>
    </xf>
    <xf numFmtId="41" fontId="16" fillId="4" borderId="0" xfId="1" applyNumberFormat="1" applyFont="1" applyFill="1" applyProtection="1">
      <protection hidden="1"/>
    </xf>
    <xf numFmtId="1" fontId="21" fillId="4" borderId="0" xfId="1" applyNumberFormat="1" applyFont="1" applyFill="1" applyAlignment="1" applyProtection="1">
      <alignment horizontal="left"/>
      <protection hidden="1"/>
    </xf>
    <xf numFmtId="164" fontId="3" fillId="4" borderId="0" xfId="1" applyNumberFormat="1" applyFont="1" applyFill="1" applyAlignment="1">
      <alignment horizontal="right"/>
    </xf>
    <xf numFmtId="1" fontId="21" fillId="4" borderId="0" xfId="1" applyNumberFormat="1" applyFont="1" applyFill="1" applyAlignment="1" applyProtection="1">
      <alignment horizontal="right"/>
      <protection hidden="1"/>
    </xf>
    <xf numFmtId="166" fontId="1" fillId="0" borderId="0" xfId="1" applyNumberFormat="1"/>
    <xf numFmtId="168" fontId="1" fillId="0" borderId="0" xfId="1" applyNumberFormat="1"/>
    <xf numFmtId="9" fontId="1" fillId="4" borderId="0" xfId="2" applyFont="1" applyFill="1"/>
    <xf numFmtId="0" fontId="6" fillId="4" borderId="0" xfId="1" applyFont="1" applyFill="1" applyAlignment="1">
      <alignment horizontal="right"/>
    </xf>
    <xf numFmtId="168" fontId="1" fillId="4" borderId="0" xfId="2" applyNumberFormat="1" applyFont="1" applyFill="1"/>
    <xf numFmtId="1" fontId="1" fillId="4" borderId="0" xfId="2" applyNumberFormat="1" applyFont="1" applyFill="1"/>
    <xf numFmtId="41" fontId="28" fillId="4" borderId="0" xfId="1" applyNumberFormat="1" applyFont="1" applyFill="1" applyAlignment="1">
      <alignment horizontal="right"/>
    </xf>
    <xf numFmtId="41" fontId="31" fillId="4" borderId="0" xfId="1" applyNumberFormat="1" applyFont="1" applyFill="1" applyAlignment="1">
      <alignment horizontal="right"/>
    </xf>
    <xf numFmtId="9" fontId="1" fillId="4" borderId="0" xfId="2" applyFont="1" applyFill="1" applyAlignment="1">
      <alignment horizontal="center"/>
    </xf>
    <xf numFmtId="41" fontId="18" fillId="4" borderId="0" xfId="1" applyNumberFormat="1" applyFont="1" applyFill="1" applyAlignment="1">
      <alignment horizontal="right"/>
    </xf>
    <xf numFmtId="0" fontId="4" fillId="0" borderId="0" xfId="1" quotePrefix="1" applyFont="1" applyAlignment="1">
      <alignment horizontal="left"/>
    </xf>
    <xf numFmtId="0" fontId="10" fillId="8" borderId="0" xfId="1" applyFont="1" applyFill="1"/>
    <xf numFmtId="0" fontId="10" fillId="8" borderId="0" xfId="1" applyFont="1" applyFill="1" applyAlignment="1">
      <alignment horizontal="right"/>
    </xf>
    <xf numFmtId="41" fontId="15" fillId="4" borderId="0" xfId="1" applyNumberFormat="1" applyFont="1" applyFill="1" applyAlignment="1" applyProtection="1">
      <alignment horizontal="right"/>
      <protection hidden="1"/>
    </xf>
    <xf numFmtId="41" fontId="15" fillId="4" borderId="0" xfId="1" applyNumberFormat="1" applyFont="1" applyFill="1" applyProtection="1">
      <protection hidden="1"/>
    </xf>
    <xf numFmtId="0" fontId="4" fillId="0" borderId="0" xfId="1" applyFont="1"/>
    <xf numFmtId="164" fontId="23" fillId="3" borderId="0" xfId="1" applyNumberFormat="1" applyFont="1" applyFill="1" applyAlignment="1">
      <alignment horizontal="right"/>
    </xf>
    <xf numFmtId="164" fontId="8" fillId="3" borderId="0" xfId="1" applyNumberFormat="1" applyFont="1" applyFill="1"/>
    <xf numFmtId="0" fontId="7" fillId="4" borderId="0" xfId="1" applyFont="1" applyFill="1" applyAlignment="1">
      <alignment horizontal="right"/>
    </xf>
    <xf numFmtId="164" fontId="6" fillId="4" borderId="0" xfId="1" applyNumberFormat="1" applyFont="1" applyFill="1" applyAlignment="1">
      <alignment horizontal="right"/>
    </xf>
    <xf numFmtId="164" fontId="1" fillId="4" borderId="0" xfId="1" applyNumberFormat="1" applyFill="1" applyProtection="1">
      <protection hidden="1"/>
    </xf>
    <xf numFmtId="164" fontId="3" fillId="4" borderId="0" xfId="1" applyNumberFormat="1" applyFont="1" applyFill="1" applyAlignment="1" applyProtection="1">
      <alignment horizontal="center"/>
      <protection hidden="1"/>
    </xf>
    <xf numFmtId="164" fontId="6" fillId="4" borderId="0" xfId="1" applyNumberFormat="1" applyFont="1" applyFill="1" applyAlignment="1" applyProtection="1">
      <alignment horizontal="center"/>
      <protection hidden="1"/>
    </xf>
    <xf numFmtId="164" fontId="3" fillId="4" borderId="0" xfId="1" applyNumberFormat="1" applyFont="1" applyFill="1" applyAlignment="1" applyProtection="1">
      <alignment horizontal="right"/>
      <protection hidden="1"/>
    </xf>
    <xf numFmtId="2" fontId="3" fillId="4" borderId="0" xfId="1" applyNumberFormat="1" applyFont="1" applyFill="1" applyAlignment="1">
      <alignment horizontal="left"/>
    </xf>
    <xf numFmtId="2" fontId="3" fillId="4" borderId="0" xfId="1" applyNumberFormat="1" applyFont="1" applyFill="1" applyAlignment="1" applyProtection="1">
      <alignment horizontal="left"/>
      <protection hidden="1"/>
    </xf>
    <xf numFmtId="164" fontId="1" fillId="4" borderId="0" xfId="1" applyNumberFormat="1" applyFill="1" applyAlignment="1" applyProtection="1">
      <alignment horizontal="right"/>
      <protection hidden="1"/>
    </xf>
    <xf numFmtId="2" fontId="1" fillId="4" borderId="0" xfId="1" applyNumberFormat="1" applyFill="1" applyAlignment="1" applyProtection="1">
      <alignment horizontal="left"/>
      <protection hidden="1"/>
    </xf>
    <xf numFmtId="164" fontId="1" fillId="4" borderId="0" xfId="1" applyNumberFormat="1" applyFill="1" applyAlignment="1" applyProtection="1">
      <alignment horizontal="left"/>
      <protection hidden="1"/>
    </xf>
    <xf numFmtId="0" fontId="1" fillId="4" borderId="0" xfId="1" quotePrefix="1" applyFill="1" applyAlignment="1">
      <alignment horizontal="center"/>
    </xf>
    <xf numFmtId="164" fontId="15" fillId="4" borderId="0" xfId="1" applyNumberFormat="1" applyFont="1" applyFill="1" applyAlignment="1" applyProtection="1">
      <alignment horizontal="right"/>
      <protection hidden="1"/>
    </xf>
    <xf numFmtId="164" fontId="28" fillId="4" borderId="0" xfId="1" applyNumberFormat="1" applyFont="1" applyFill="1" applyAlignment="1">
      <alignment horizontal="left"/>
    </xf>
    <xf numFmtId="164" fontId="3" fillId="4" borderId="0" xfId="1" applyNumberFormat="1" applyFont="1" applyFill="1" applyAlignment="1">
      <alignment horizontal="center"/>
    </xf>
    <xf numFmtId="164" fontId="28" fillId="4" borderId="0" xfId="1" applyNumberFormat="1" applyFont="1" applyFill="1" applyProtection="1">
      <protection hidden="1"/>
    </xf>
    <xf numFmtId="2" fontId="1" fillId="4" borderId="0" xfId="1" applyNumberFormat="1" applyFill="1" applyAlignment="1">
      <alignment horizontal="left"/>
    </xf>
    <xf numFmtId="164" fontId="1" fillId="4" borderId="11" xfId="1" applyNumberFormat="1" applyFill="1" applyBorder="1"/>
    <xf numFmtId="0" fontId="1" fillId="4" borderId="15" xfId="1" applyFill="1" applyBorder="1"/>
    <xf numFmtId="164" fontId="1" fillId="4" borderId="15" xfId="1" applyNumberFormat="1" applyFill="1" applyBorder="1"/>
    <xf numFmtId="164" fontId="10" fillId="4" borderId="17" xfId="1" applyNumberFormat="1" applyFont="1" applyFill="1" applyBorder="1" applyAlignment="1">
      <alignment horizontal="right"/>
    </xf>
    <xf numFmtId="168" fontId="10" fillId="4" borderId="18" xfId="2" applyNumberFormat="1" applyFont="1" applyFill="1" applyBorder="1" applyProtection="1">
      <protection hidden="1"/>
    </xf>
    <xf numFmtId="164" fontId="21" fillId="4" borderId="0" xfId="1" applyNumberFormat="1" applyFont="1" applyFill="1" applyAlignment="1" applyProtection="1">
      <alignment horizontal="right"/>
      <protection hidden="1"/>
    </xf>
    <xf numFmtId="164" fontId="10" fillId="0" borderId="0" xfId="1" applyNumberFormat="1" applyFont="1" applyAlignment="1">
      <alignment horizontal="right"/>
    </xf>
    <xf numFmtId="10" fontId="10" fillId="0" borderId="0" xfId="1" applyNumberFormat="1" applyFont="1" applyProtection="1">
      <protection hidden="1"/>
    </xf>
    <xf numFmtId="10" fontId="4" fillId="0" borderId="0" xfId="1" applyNumberFormat="1" applyFont="1" applyProtection="1">
      <protection hidden="1"/>
    </xf>
    <xf numFmtId="164" fontId="3" fillId="4" borderId="0" xfId="1" applyNumberFormat="1" applyFont="1" applyFill="1" applyAlignment="1" applyProtection="1">
      <alignment horizontal="left"/>
      <protection hidden="1"/>
    </xf>
    <xf numFmtId="168" fontId="1" fillId="4" borderId="0" xfId="2" applyNumberFormat="1" applyFont="1" applyFill="1" applyBorder="1" applyAlignment="1" applyProtection="1">
      <alignment horizontal="center"/>
      <protection hidden="1"/>
    </xf>
    <xf numFmtId="168" fontId="12" fillId="4" borderId="0" xfId="2" applyNumberFormat="1" applyFont="1" applyFill="1" applyProtection="1">
      <protection hidden="1"/>
    </xf>
    <xf numFmtId="164" fontId="6" fillId="4" borderId="0" xfId="1" applyNumberFormat="1" applyFont="1" applyFill="1" applyProtection="1">
      <protection hidden="1"/>
    </xf>
    <xf numFmtId="168" fontId="12" fillId="4" borderId="0" xfId="2" applyNumberFormat="1" applyFont="1" applyFill="1" applyAlignment="1" applyProtection="1">
      <alignment horizontal="left"/>
      <protection hidden="1"/>
    </xf>
    <xf numFmtId="168" fontId="12" fillId="4" borderId="0" xfId="1" applyNumberFormat="1" applyFont="1" applyFill="1"/>
    <xf numFmtId="0" fontId="32" fillId="2" borderId="0" xfId="1" applyFont="1" applyFill="1"/>
    <xf numFmtId="0" fontId="3" fillId="2" borderId="0" xfId="1" applyFont="1" applyFill="1"/>
    <xf numFmtId="0" fontId="20" fillId="2" borderId="0" xfId="1" applyFont="1" applyFill="1" applyAlignment="1">
      <alignment horizontal="right"/>
    </xf>
    <xf numFmtId="2" fontId="1" fillId="4" borderId="0" xfId="1" applyNumberFormat="1" applyFill="1"/>
    <xf numFmtId="9" fontId="1" fillId="4" borderId="0" xfId="2" applyFont="1" applyFill="1" applyAlignment="1">
      <alignment horizontal="right"/>
    </xf>
    <xf numFmtId="164" fontId="1" fillId="4" borderId="0" xfId="1" applyNumberFormat="1" applyFill="1" applyAlignment="1">
      <alignment horizontal="right"/>
    </xf>
    <xf numFmtId="164" fontId="1" fillId="4" borderId="0" xfId="1" applyNumberFormat="1" applyFill="1" applyAlignment="1">
      <alignment horizontal="left"/>
    </xf>
    <xf numFmtId="164" fontId="9" fillId="3" borderId="0" xfId="1" applyNumberFormat="1" applyFont="1" applyFill="1"/>
    <xf numFmtId="0" fontId="24" fillId="3" borderId="0" xfId="1" applyFont="1" applyFill="1" applyAlignment="1">
      <alignment horizontal="right"/>
    </xf>
    <xf numFmtId="41" fontId="1" fillId="4" borderId="0" xfId="1" applyNumberFormat="1" applyFill="1"/>
    <xf numFmtId="1" fontId="21" fillId="4" borderId="0" xfId="1" applyNumberFormat="1" applyFont="1" applyFill="1"/>
    <xf numFmtId="1" fontId="23" fillId="3" borderId="0" xfId="1" applyNumberFormat="1" applyFont="1" applyFill="1" applyAlignment="1">
      <alignment horizontal="right"/>
    </xf>
    <xf numFmtId="0" fontId="10" fillId="4" borderId="19" xfId="1" applyFont="1" applyFill="1" applyBorder="1" applyAlignment="1">
      <alignment horizontal="right"/>
    </xf>
    <xf numFmtId="168" fontId="10" fillId="4" borderId="20" xfId="2" applyNumberFormat="1" applyFont="1" applyFill="1" applyBorder="1" applyAlignment="1">
      <alignment horizontal="left"/>
    </xf>
    <xf numFmtId="164" fontId="4" fillId="0" borderId="0" xfId="1" applyNumberFormat="1" applyFont="1"/>
    <xf numFmtId="164" fontId="6" fillId="0" borderId="0" xfId="1" applyNumberFormat="1" applyFont="1"/>
    <xf numFmtId="10" fontId="10" fillId="0" borderId="0" xfId="1" applyNumberFormat="1" applyFont="1"/>
    <xf numFmtId="164" fontId="1" fillId="0" borderId="0" xfId="1" applyNumberFormat="1" applyAlignment="1">
      <alignment horizontal="right"/>
    </xf>
    <xf numFmtId="168" fontId="9" fillId="3" borderId="0" xfId="1" applyNumberFormat="1" applyFont="1" applyFill="1"/>
    <xf numFmtId="164" fontId="21" fillId="4" borderId="0" xfId="1" applyNumberFormat="1" applyFont="1" applyFill="1"/>
    <xf numFmtId="0" fontId="3" fillId="4" borderId="0" xfId="1" applyFont="1" applyFill="1" applyAlignment="1">
      <alignment horizontal="center"/>
    </xf>
    <xf numFmtId="0" fontId="33" fillId="4" borderId="0" xfId="1" applyFont="1" applyFill="1" applyAlignment="1">
      <alignment horizontal="center"/>
    </xf>
    <xf numFmtId="0" fontId="15" fillId="4" borderId="0" xfId="1" applyFont="1" applyFill="1" applyAlignment="1">
      <alignment horizontal="center"/>
    </xf>
    <xf numFmtId="0" fontId="14" fillId="4" borderId="0" xfId="1" applyFont="1" applyFill="1" applyAlignment="1">
      <alignment horizontal="right"/>
    </xf>
    <xf numFmtId="0" fontId="3" fillId="9" borderId="21" xfId="1" applyFont="1" applyFill="1" applyBorder="1" applyAlignment="1">
      <alignment horizontal="center"/>
    </xf>
    <xf numFmtId="0" fontId="10" fillId="4" borderId="0" xfId="1" applyFont="1" applyFill="1" applyAlignment="1">
      <alignment horizontal="center" vertical="top"/>
    </xf>
    <xf numFmtId="0" fontId="10" fillId="4" borderId="0" xfId="1" applyFont="1" applyFill="1" applyAlignment="1">
      <alignment horizontal="center" vertical="top" wrapText="1"/>
    </xf>
    <xf numFmtId="0" fontId="14" fillId="0" borderId="0" xfId="1" applyFont="1" applyAlignment="1">
      <alignment horizontal="right"/>
    </xf>
    <xf numFmtId="0" fontId="3" fillId="0" borderId="21" xfId="1" applyFont="1" applyBorder="1" applyAlignment="1">
      <alignment horizontal="center"/>
    </xf>
    <xf numFmtId="0" fontId="10" fillId="4" borderId="4" xfId="1" applyFont="1" applyFill="1" applyBorder="1" applyAlignment="1">
      <alignment vertical="top" wrapText="1"/>
    </xf>
    <xf numFmtId="0" fontId="1" fillId="4" borderId="0" xfId="1" applyFill="1" applyAlignment="1">
      <alignment vertical="top" wrapText="1"/>
    </xf>
    <xf numFmtId="0" fontId="1" fillId="4" borderId="4" xfId="1" applyFill="1" applyBorder="1" applyAlignment="1">
      <alignment vertical="top" wrapText="1"/>
    </xf>
    <xf numFmtId="0" fontId="12" fillId="4" borderId="0" xfId="1" applyFont="1" applyFill="1" applyAlignment="1">
      <alignment horizontal="center"/>
    </xf>
    <xf numFmtId="164" fontId="10" fillId="4" borderId="0" xfId="1" applyNumberFormat="1" applyFont="1" applyFill="1" applyAlignment="1">
      <alignment horizontal="center"/>
    </xf>
    <xf numFmtId="164" fontId="12" fillId="4" borderId="0" xfId="1" applyNumberFormat="1" applyFont="1" applyFill="1" applyAlignment="1">
      <alignment horizontal="center"/>
    </xf>
    <xf numFmtId="0" fontId="15" fillId="4" borderId="0" xfId="1" applyFont="1" applyFill="1" applyAlignment="1">
      <alignment horizontal="center"/>
    </xf>
    <xf numFmtId="164" fontId="10" fillId="4" borderId="0" xfId="1" applyNumberFormat="1" applyFont="1" applyFill="1" applyAlignment="1">
      <alignment horizontal="center"/>
    </xf>
    <xf numFmtId="0" fontId="14" fillId="0" borderId="19" xfId="1" applyFont="1" applyBorder="1" applyAlignment="1">
      <alignment horizontal="center"/>
    </xf>
    <xf numFmtId="0" fontId="14" fillId="0" borderId="16" xfId="1" applyFont="1" applyBorder="1" applyAlignment="1">
      <alignment horizontal="center"/>
    </xf>
    <xf numFmtId="0" fontId="14" fillId="0" borderId="20" xfId="1" applyFont="1" applyBorder="1" applyAlignment="1">
      <alignment horizontal="center"/>
    </xf>
    <xf numFmtId="0" fontId="12" fillId="4" borderId="0" xfId="1" applyFont="1" applyFill="1" applyAlignment="1">
      <alignment horizontal="left"/>
    </xf>
    <xf numFmtId="0" fontId="10" fillId="4" borderId="4" xfId="1" applyFont="1" applyFill="1" applyBorder="1" applyAlignment="1">
      <alignment horizontal="left" vertical="top"/>
    </xf>
    <xf numFmtId="0" fontId="10" fillId="4" borderId="0" xfId="1" applyFont="1" applyFill="1" applyAlignment="1">
      <alignment horizontal="left" vertical="top"/>
    </xf>
    <xf numFmtId="0" fontId="10" fillId="4" borderId="4" xfId="1" applyFont="1" applyFill="1" applyBorder="1" applyAlignment="1">
      <alignment horizontal="center" vertical="top"/>
    </xf>
    <xf numFmtId="168" fontId="3" fillId="4" borderId="0" xfId="1" applyNumberFormat="1" applyFont="1" applyFill="1" applyAlignment="1">
      <alignment horizontal="right"/>
    </xf>
    <xf numFmtId="2" fontId="3" fillId="4" borderId="0" xfId="1" applyNumberFormat="1" applyFont="1" applyFill="1" applyAlignment="1" applyProtection="1">
      <alignment horizontal="right"/>
      <protection hidden="1"/>
    </xf>
    <xf numFmtId="0" fontId="3" fillId="2" borderId="21" xfId="1" applyFont="1" applyFill="1" applyBorder="1" applyAlignment="1">
      <alignment horizontal="center"/>
    </xf>
    <xf numFmtId="168" fontId="21" fillId="4" borderId="0" xfId="1" applyNumberFormat="1" applyFont="1" applyFill="1" applyAlignment="1">
      <alignment horizontal="left"/>
    </xf>
    <xf numFmtId="0" fontId="3" fillId="4" borderId="1" xfId="1" applyFont="1" applyFill="1" applyBorder="1"/>
    <xf numFmtId="0" fontId="15" fillId="4" borderId="2" xfId="1" applyFont="1" applyFill="1" applyBorder="1" applyAlignment="1">
      <alignment horizontal="center"/>
    </xf>
    <xf numFmtId="0" fontId="1" fillId="4" borderId="2" xfId="1" applyFill="1" applyBorder="1"/>
    <xf numFmtId="0" fontId="1" fillId="4" borderId="3" xfId="1" applyFill="1" applyBorder="1"/>
    <xf numFmtId="2" fontId="3" fillId="4" borderId="0" xfId="1" applyNumberFormat="1" applyFont="1" applyFill="1" applyProtection="1">
      <protection hidden="1"/>
    </xf>
    <xf numFmtId="168" fontId="1" fillId="4" borderId="5" xfId="1" applyNumberFormat="1" applyFill="1" applyBorder="1" applyAlignment="1">
      <alignment horizontal="right"/>
    </xf>
    <xf numFmtId="168" fontId="14" fillId="4" borderId="8" xfId="1" applyNumberFormat="1" applyFont="1" applyFill="1" applyBorder="1" applyAlignment="1">
      <alignment horizontal="left"/>
    </xf>
    <xf numFmtId="168" fontId="1" fillId="4" borderId="8" xfId="1" applyNumberFormat="1" applyFill="1" applyBorder="1" applyAlignment="1">
      <alignment horizontal="right"/>
    </xf>
    <xf numFmtId="168" fontId="1" fillId="4" borderId="9" xfId="1" applyNumberFormat="1" applyFill="1" applyBorder="1" applyAlignment="1">
      <alignment horizontal="right"/>
    </xf>
    <xf numFmtId="171" fontId="3" fillId="4" borderId="0" xfId="1" applyNumberFormat="1" applyFont="1" applyFill="1"/>
    <xf numFmtId="10" fontId="12" fillId="4" borderId="0" xfId="2" applyNumberFormat="1" applyFont="1" applyFill="1" applyAlignment="1">
      <alignment horizontal="right"/>
    </xf>
    <xf numFmtId="41" fontId="1" fillId="4" borderId="8" xfId="1" applyNumberFormat="1" applyFill="1" applyBorder="1"/>
    <xf numFmtId="0" fontId="1" fillId="4" borderId="22" xfId="1" applyFill="1" applyBorder="1"/>
    <xf numFmtId="41" fontId="1" fillId="4" borderId="22" xfId="1" applyNumberFormat="1" applyFill="1" applyBorder="1"/>
    <xf numFmtId="10" fontId="12" fillId="4" borderId="0" xfId="2" applyNumberFormat="1" applyFont="1" applyFill="1"/>
    <xf numFmtId="1" fontId="3" fillId="4" borderId="0" xfId="1" applyNumberFormat="1" applyFont="1" applyFill="1"/>
    <xf numFmtId="41" fontId="3" fillId="4" borderId="8" xfId="1" applyNumberFormat="1" applyFont="1" applyFill="1" applyBorder="1"/>
    <xf numFmtId="164" fontId="1" fillId="3" borderId="0" xfId="1" applyNumberFormat="1" applyFill="1"/>
    <xf numFmtId="0" fontId="8" fillId="3" borderId="0" xfId="1" applyFont="1" applyFill="1" applyAlignment="1">
      <alignment horizontal="center"/>
    </xf>
    <xf numFmtId="16" fontId="23" fillId="3" borderId="0" xfId="1" quotePrefix="1" applyNumberFormat="1" applyFont="1" applyFill="1" applyAlignment="1">
      <alignment horizontal="center"/>
    </xf>
    <xf numFmtId="0" fontId="23" fillId="3" borderId="0" xfId="1" quotePrefix="1" applyFont="1" applyFill="1" applyAlignment="1">
      <alignment horizontal="center"/>
    </xf>
    <xf numFmtId="0" fontId="1" fillId="4" borderId="0" xfId="2" applyNumberFormat="1" applyFont="1" applyFill="1" applyBorder="1" applyAlignment="1">
      <alignment horizontal="center"/>
    </xf>
    <xf numFmtId="164" fontId="7" fillId="4" borderId="0" xfId="1" applyNumberFormat="1" applyFont="1" applyFill="1" applyAlignment="1">
      <alignment horizontal="right"/>
    </xf>
    <xf numFmtId="168" fontId="3" fillId="4" borderId="0" xfId="2" applyNumberFormat="1" applyFont="1" applyFill="1" applyBorder="1" applyAlignment="1">
      <alignment horizontal="center"/>
    </xf>
    <xf numFmtId="0" fontId="1" fillId="4" borderId="22" xfId="1" applyFill="1" applyBorder="1" applyAlignment="1">
      <alignment horizontal="right"/>
    </xf>
    <xf numFmtId="164" fontId="3" fillId="4" borderId="22" xfId="1" applyNumberFormat="1" applyFont="1" applyFill="1" applyBorder="1" applyAlignment="1">
      <alignment horizontal="right"/>
    </xf>
    <xf numFmtId="168" fontId="3" fillId="4" borderId="22" xfId="2" applyNumberFormat="1" applyFont="1" applyFill="1" applyBorder="1" applyAlignment="1">
      <alignment horizontal="center"/>
    </xf>
    <xf numFmtId="168" fontId="3" fillId="4" borderId="0" xfId="2" quotePrefix="1" applyNumberFormat="1" applyFont="1" applyFill="1" applyBorder="1" applyAlignment="1">
      <alignment horizontal="center"/>
    </xf>
    <xf numFmtId="0" fontId="3" fillId="4" borderId="22" xfId="1" applyFont="1" applyFill="1" applyBorder="1" applyAlignment="1">
      <alignment horizontal="center"/>
    </xf>
    <xf numFmtId="1" fontId="3" fillId="4" borderId="0" xfId="2" applyNumberFormat="1" applyFont="1" applyFill="1" applyBorder="1" applyAlignment="1">
      <alignment horizontal="center"/>
    </xf>
    <xf numFmtId="1" fontId="3" fillId="4" borderId="0" xfId="2" quotePrefix="1" applyNumberFormat="1" applyFont="1" applyFill="1" applyBorder="1" applyAlignment="1">
      <alignment horizontal="center"/>
    </xf>
    <xf numFmtId="168" fontId="3" fillId="4" borderId="22" xfId="2" quotePrefix="1" applyNumberFormat="1" applyFont="1" applyFill="1" applyBorder="1" applyAlignment="1">
      <alignment horizontal="center"/>
    </xf>
    <xf numFmtId="0" fontId="3" fillId="4" borderId="0" xfId="2" applyNumberFormat="1" applyFont="1" applyFill="1" applyBorder="1" applyAlignment="1">
      <alignment horizontal="center"/>
    </xf>
    <xf numFmtId="0" fontId="3" fillId="4" borderId="22" xfId="2" applyNumberFormat="1" applyFont="1" applyFill="1" applyBorder="1" applyAlignment="1">
      <alignment horizontal="center"/>
    </xf>
    <xf numFmtId="164" fontId="3" fillId="4" borderId="0" xfId="2" applyNumberFormat="1" applyFont="1" applyFill="1" applyBorder="1" applyAlignment="1">
      <alignment horizontal="center"/>
    </xf>
    <xf numFmtId="164" fontId="3" fillId="4" borderId="0" xfId="2" quotePrefix="1" applyNumberFormat="1" applyFont="1" applyFill="1" applyBorder="1" applyAlignment="1">
      <alignment horizontal="center"/>
    </xf>
    <xf numFmtId="168" fontId="3" fillId="4" borderId="0" xfId="2" applyNumberFormat="1" applyFont="1" applyFill="1" applyAlignment="1">
      <alignment horizontal="center"/>
    </xf>
    <xf numFmtId="0" fontId="3" fillId="4" borderId="0" xfId="2" applyNumberFormat="1" applyFont="1" applyFill="1" applyBorder="1" applyAlignment="1">
      <alignment horizontal="left"/>
    </xf>
    <xf numFmtId="0" fontId="1" fillId="4" borderId="0" xfId="2" applyNumberFormat="1" applyFont="1" applyFill="1" applyBorder="1" applyAlignment="1">
      <alignment horizontal="left"/>
    </xf>
    <xf numFmtId="168" fontId="1" fillId="4" borderId="0" xfId="2" quotePrefix="1" applyNumberFormat="1" applyFont="1" applyFill="1" applyBorder="1" applyAlignment="1">
      <alignment horizontal="center"/>
    </xf>
    <xf numFmtId="0" fontId="1" fillId="4" borderId="8" xfId="1" applyFill="1" applyBorder="1" applyAlignment="1">
      <alignment horizontal="center"/>
    </xf>
    <xf numFmtId="0" fontId="34" fillId="4" borderId="0" xfId="1" applyFont="1" applyFill="1" applyAlignment="1">
      <alignment horizontal="right"/>
    </xf>
    <xf numFmtId="0" fontId="35" fillId="0" borderId="1" xfId="1" applyFont="1" applyBorder="1" applyAlignment="1">
      <alignment horizontal="left"/>
    </xf>
    <xf numFmtId="0" fontId="7" fillId="0" borderId="1" xfId="1" applyFont="1" applyBorder="1" applyAlignment="1">
      <alignment horizontal="right"/>
    </xf>
    <xf numFmtId="0" fontId="33" fillId="0" borderId="3" xfId="1" applyFont="1" applyBorder="1" applyAlignment="1">
      <alignment horizontal="right"/>
    </xf>
    <xf numFmtId="9" fontId="15" fillId="4" borderId="0" xfId="2" applyFont="1" applyFill="1" applyBorder="1" applyAlignment="1">
      <alignment horizontal="right"/>
    </xf>
    <xf numFmtId="0" fontId="34" fillId="0" borderId="4" xfId="1" applyFont="1" applyBorder="1" applyAlignment="1">
      <alignment horizontal="left"/>
    </xf>
    <xf numFmtId="0" fontId="10" fillId="0" borderId="4" xfId="1" applyFont="1" applyBorder="1" applyAlignment="1">
      <alignment horizontal="right"/>
    </xf>
    <xf numFmtId="41" fontId="12" fillId="0" borderId="5" xfId="1" applyNumberFormat="1" applyFont="1" applyBorder="1" applyAlignment="1">
      <alignment horizontal="right"/>
    </xf>
    <xf numFmtId="0" fontId="1" fillId="4" borderId="4" xfId="1" quotePrefix="1" applyFill="1" applyBorder="1"/>
    <xf numFmtId="0" fontId="1" fillId="0" borderId="4" xfId="1" applyBorder="1" applyAlignment="1">
      <alignment horizontal="right"/>
    </xf>
    <xf numFmtId="0" fontId="10" fillId="0" borderId="0" xfId="1" applyFont="1" applyAlignment="1">
      <alignment horizontal="right"/>
    </xf>
    <xf numFmtId="0" fontId="1" fillId="0" borderId="7" xfId="1" applyBorder="1" applyAlignment="1">
      <alignment horizontal="right"/>
    </xf>
    <xf numFmtId="0" fontId="12" fillId="0" borderId="8" xfId="1" applyFont="1" applyBorder="1" applyAlignment="1">
      <alignment horizontal="right"/>
    </xf>
    <xf numFmtId="2" fontId="12" fillId="0" borderId="9" xfId="1" applyNumberFormat="1" applyFont="1" applyBorder="1" applyAlignment="1">
      <alignment horizontal="right"/>
    </xf>
    <xf numFmtId="1" fontId="1" fillId="4" borderId="0" xfId="1" applyNumberFormat="1" applyFill="1" applyAlignment="1">
      <alignment horizontal="right"/>
    </xf>
    <xf numFmtId="1" fontId="3" fillId="4" borderId="0" xfId="1" applyNumberFormat="1" applyFont="1" applyFill="1" applyAlignment="1">
      <alignment horizontal="right"/>
    </xf>
    <xf numFmtId="2" fontId="3" fillId="4" borderId="0" xfId="2" applyNumberFormat="1" applyFont="1" applyFill="1" applyBorder="1" applyAlignment="1">
      <alignment horizontal="right"/>
    </xf>
    <xf numFmtId="164" fontId="21" fillId="4" borderId="0" xfId="1" applyNumberFormat="1" applyFont="1" applyFill="1" applyAlignment="1">
      <alignment horizontal="left"/>
    </xf>
    <xf numFmtId="164" fontId="3" fillId="4" borderId="0" xfId="1" applyNumberFormat="1" applyFont="1" applyFill="1" applyAlignment="1">
      <alignment horizontal="left" wrapText="1"/>
    </xf>
    <xf numFmtId="0" fontId="3" fillId="4" borderId="0" xfId="1" applyFont="1" applyFill="1" applyAlignment="1">
      <alignment horizontal="left" wrapText="1"/>
    </xf>
    <xf numFmtId="0" fontId="6" fillId="0" borderId="0" xfId="1" applyFont="1"/>
    <xf numFmtId="164" fontId="30" fillId="4" borderId="0" xfId="1" applyNumberFormat="1" applyFont="1" applyFill="1"/>
    <xf numFmtId="164" fontId="10" fillId="4" borderId="0" xfId="1" applyNumberFormat="1" applyFont="1" applyFill="1"/>
    <xf numFmtId="41" fontId="3" fillId="0" borderId="0" xfId="1" applyNumberFormat="1" applyFont="1" applyAlignment="1">
      <alignment horizontal="right"/>
    </xf>
    <xf numFmtId="168" fontId="3" fillId="7" borderId="0" xfId="2" applyNumberFormat="1" applyFont="1" applyFill="1" applyBorder="1"/>
    <xf numFmtId="164" fontId="3" fillId="4" borderId="0" xfId="1" applyNumberFormat="1" applyFont="1" applyFill="1"/>
    <xf numFmtId="1" fontId="20" fillId="4" borderId="0" xfId="1" applyNumberFormat="1" applyFont="1" applyFill="1" applyAlignment="1">
      <alignment horizontal="right"/>
    </xf>
    <xf numFmtId="168" fontId="3" fillId="0" borderId="0" xfId="2" applyNumberFormat="1" applyFont="1" applyFill="1" applyBorder="1"/>
    <xf numFmtId="1" fontId="20" fillId="4" borderId="0" xfId="1" applyNumberFormat="1" applyFont="1" applyFill="1" applyAlignment="1">
      <alignment horizontal="right" vertical="center"/>
    </xf>
    <xf numFmtId="1" fontId="3" fillId="4" borderId="0" xfId="1" applyNumberFormat="1" applyFont="1" applyFill="1" applyAlignment="1">
      <alignment horizontal="right" vertical="center"/>
    </xf>
    <xf numFmtId="164" fontId="15" fillId="4" borderId="0" xfId="1" applyNumberFormat="1" applyFont="1" applyFill="1" applyAlignment="1">
      <alignment horizontal="right"/>
    </xf>
    <xf numFmtId="1" fontId="30" fillId="4" borderId="0" xfId="1" applyNumberFormat="1" applyFont="1" applyFill="1" applyAlignment="1">
      <alignment horizontal="right"/>
    </xf>
    <xf numFmtId="41" fontId="12" fillId="4" borderId="0" xfId="1" applyNumberFormat="1" applyFont="1" applyFill="1" applyAlignment="1">
      <alignment horizontal="right"/>
    </xf>
    <xf numFmtId="0" fontId="6" fillId="4" borderId="0" xfId="1" applyFont="1" applyFill="1" applyAlignment="1">
      <alignment horizontal="center"/>
    </xf>
    <xf numFmtId="0" fontId="3" fillId="10" borderId="0" xfId="1" applyFont="1" applyFill="1" applyAlignment="1">
      <alignment horizontal="center"/>
    </xf>
  </cellXfs>
  <cellStyles count="5">
    <cellStyle name="Comma 2" xfId="4" xr:uid="{10B639D4-51A4-478E-B52C-26728E3B42BD}"/>
    <cellStyle name="Hyperlink" xfId="3" builtinId="8"/>
    <cellStyle name="Normal" xfId="0" builtinId="0"/>
    <cellStyle name="Normal 2" xfId="1" xr:uid="{451E643D-C1AB-42D0-A99D-0E47EFFB3C3B}"/>
    <cellStyle name="Percent 2" xfId="2" xr:uid="{C924D239-7E87-47C8-9B97-591BE58E8FA2}"/>
  </cellStyles>
  <dxfs count="83">
    <dxf>
      <fill>
        <patternFill patternType="none">
          <bgColor indexed="65"/>
        </patternFill>
      </fill>
    </dxf>
    <dxf>
      <fill>
        <patternFill patternType="none">
          <bgColor indexed="65"/>
        </patternFill>
      </fill>
    </dxf>
    <dxf>
      <fill>
        <patternFill>
          <bgColor indexed="55"/>
        </patternFill>
      </fill>
    </dxf>
    <dxf>
      <fill>
        <patternFill>
          <bgColor indexed="55"/>
        </patternFill>
      </fill>
    </dxf>
    <dxf>
      <fill>
        <patternFill>
          <bgColor indexed="55"/>
        </patternFill>
      </fill>
    </dxf>
    <dxf>
      <fill>
        <patternFill>
          <bgColor indexed="11"/>
        </patternFill>
      </fill>
    </dxf>
    <dxf>
      <fill>
        <patternFill>
          <bgColor indexed="11"/>
        </patternFill>
      </fill>
    </dxf>
    <dxf>
      <fill>
        <patternFill>
          <bgColor indexed="11"/>
        </patternFill>
      </fill>
    </dxf>
    <dxf>
      <fill>
        <patternFill patternType="gray0625">
          <bgColor indexed="45"/>
        </patternFill>
      </fill>
    </dxf>
    <dxf>
      <fill>
        <patternFill>
          <bgColor indexed="43"/>
        </patternFill>
      </fill>
    </dxf>
    <dxf>
      <fill>
        <patternFill>
          <bgColor indexed="52"/>
        </patternFill>
      </fill>
    </dxf>
    <dxf>
      <fill>
        <patternFill>
          <bgColor indexed="45"/>
        </patternFill>
      </fill>
    </dxf>
    <dxf>
      <fill>
        <patternFill>
          <bgColor indexed="45"/>
        </patternFill>
      </fill>
    </dxf>
    <dxf>
      <fill>
        <patternFill>
          <bgColor indexed="45"/>
        </patternFill>
      </fill>
    </dxf>
    <dxf>
      <fill>
        <patternFill>
          <bgColor indexed="52"/>
        </patternFill>
      </fill>
    </dxf>
    <dxf>
      <fill>
        <patternFill>
          <bgColor indexed="55"/>
        </patternFill>
      </fill>
    </dxf>
    <dxf>
      <fill>
        <patternFill>
          <bgColor indexed="55"/>
        </patternFill>
      </fill>
    </dxf>
    <dxf>
      <fill>
        <patternFill patternType="solid">
          <bgColor indexed="9"/>
        </patternFill>
      </fill>
    </dxf>
    <dxf>
      <fill>
        <patternFill patternType="solid">
          <bgColor indexed="41"/>
        </patternFill>
      </fill>
    </dxf>
    <dxf>
      <fill>
        <patternFill patternType="solid">
          <bgColor indexed="9"/>
        </patternFill>
      </fill>
    </dxf>
    <dxf>
      <fill>
        <patternFill>
          <bgColor indexed="41"/>
        </patternFill>
      </fill>
    </dxf>
    <dxf>
      <fill>
        <patternFill patternType="solid">
          <bgColor indexed="9"/>
        </patternFill>
      </fill>
    </dxf>
    <dxf>
      <fill>
        <patternFill>
          <bgColor indexed="41"/>
        </patternFill>
      </fill>
    </dxf>
    <dxf>
      <fill>
        <patternFill patternType="solid">
          <bgColor indexed="9"/>
        </patternFill>
      </fill>
    </dxf>
    <dxf>
      <fill>
        <patternFill>
          <bgColor indexed="41"/>
        </patternFill>
      </fill>
    </dxf>
    <dxf>
      <fill>
        <patternFill patternType="none">
          <bgColor indexed="65"/>
        </patternFill>
      </fill>
    </dxf>
    <dxf>
      <fill>
        <patternFill>
          <bgColor indexed="41"/>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55"/>
        </patternFill>
      </fill>
    </dxf>
    <dxf>
      <fill>
        <patternFill>
          <bgColor indexed="9"/>
        </patternFill>
      </fill>
    </dxf>
    <dxf>
      <fill>
        <patternFill>
          <bgColor indexed="9"/>
        </patternFill>
      </fill>
    </dxf>
    <dxf>
      <fill>
        <patternFill patternType="solid">
          <bgColor indexed="5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55"/>
        </patternFill>
      </fill>
    </dxf>
    <dxf>
      <fill>
        <patternFill patternType="solid">
          <bgColor indexed="55"/>
        </patternFill>
      </fill>
    </dxf>
    <dxf>
      <fill>
        <patternFill>
          <bgColor indexed="55"/>
        </patternFill>
      </fill>
    </dxf>
    <dxf>
      <fill>
        <patternFill patternType="solid">
          <bgColor indexed="55"/>
        </patternFill>
      </fill>
    </dxf>
    <dxf>
      <font>
        <condense val="0"/>
        <extend val="0"/>
        <color indexed="63"/>
      </font>
      <fill>
        <patternFill>
          <bgColor indexed="23"/>
        </patternFill>
      </fill>
    </dxf>
    <dxf>
      <font>
        <condense val="0"/>
        <extend val="0"/>
        <color indexed="9"/>
      </font>
      <fill>
        <patternFill>
          <bgColor indexed="23"/>
        </patternFill>
      </fill>
    </dxf>
    <dxf>
      <fill>
        <patternFill>
          <bgColor indexed="45"/>
        </patternFill>
      </fill>
    </dxf>
    <dxf>
      <fill>
        <patternFill>
          <bgColor indexed="45"/>
        </patternFill>
      </fill>
    </dxf>
    <dxf>
      <fill>
        <patternFill>
          <bgColor indexed="45"/>
        </patternFill>
      </fill>
    </dxf>
    <dxf>
      <fill>
        <patternFill>
          <bgColor indexed="56"/>
        </patternFill>
      </fill>
    </dxf>
    <dxf>
      <fill>
        <patternFill>
          <bgColor indexed="56"/>
        </patternFill>
      </fill>
    </dxf>
    <dxf>
      <fill>
        <patternFill>
          <bgColor indexed="45"/>
        </patternFill>
      </fill>
    </dxf>
    <dxf>
      <fill>
        <patternFill>
          <bgColor indexed="47"/>
        </patternFill>
      </fill>
    </dxf>
    <dxf>
      <fill>
        <patternFill>
          <bgColor indexed="47"/>
        </patternFill>
      </fill>
    </dxf>
    <dxf>
      <fill>
        <patternFill>
          <bgColor indexed="47"/>
        </patternFill>
      </fill>
    </dxf>
    <dxf>
      <fill>
        <patternFill>
          <bgColor indexed="47"/>
        </patternFill>
      </fill>
    </dxf>
    <dxf>
      <font>
        <condense val="0"/>
        <extend val="0"/>
        <color auto="1"/>
      </font>
      <fill>
        <patternFill>
          <bgColor indexed="9"/>
        </patternFill>
      </fill>
      <border>
        <left style="thin">
          <color indexed="64"/>
        </left>
        <right style="thin">
          <color indexed="64"/>
        </right>
        <top style="thin">
          <color indexed="64"/>
        </top>
        <bottom style="thin">
          <color indexed="64"/>
        </bottom>
      </border>
    </dxf>
    <dxf>
      <fill>
        <patternFill>
          <bgColor indexed="47"/>
        </patternFill>
      </fill>
    </dxf>
    <dxf>
      <fill>
        <patternFill>
          <bgColor indexed="11"/>
        </patternFill>
      </fill>
    </dxf>
    <dxf>
      <fill>
        <patternFill>
          <bgColor indexed="45"/>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404fe4f1ccf4793a40e27752680747b.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ojects\BVX\ctrbfds\Old\BVX86%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B"/>
      <sheetName val="Blank42"/>
      <sheetName val="Valuation 1"/>
      <sheetName val="Inputs 2"/>
      <sheetName val="Income 3"/>
      <sheetName val="BalanceSheet 4"/>
      <sheetName val="CF Proj 5"/>
      <sheetName val="CF Stmt 6"/>
      <sheetName val="ROI 7"/>
      <sheetName val="PrAllocation 8"/>
      <sheetName val="REFinancials 9"/>
      <sheetName val="FinRatios 10"/>
      <sheetName val="Depr 11"/>
      <sheetName val="25-Yr Val 12"/>
      <sheetName val="EarnOut 13"/>
      <sheetName val="SellerCF 14"/>
    </sheetNames>
    <sheetDataSet>
      <sheetData sheetId="0"/>
      <sheetData sheetId="1">
        <row r="9">
          <cell r="A9" t="str">
            <v>BVX®</v>
          </cell>
        </row>
        <row r="10">
          <cell r="A10">
            <v>4</v>
          </cell>
        </row>
        <row r="11">
          <cell r="A11" t="str">
            <v>Prepared for:</v>
          </cell>
          <cell r="B11" t="str">
            <v>Mr. Client</v>
          </cell>
          <cell r="N11">
            <v>44412.60115613426</v>
          </cell>
          <cell r="O11">
            <v>0</v>
          </cell>
        </row>
        <row r="12">
          <cell r="A12" t="str">
            <v>Company:</v>
          </cell>
          <cell r="B12" t="str">
            <v>Best Business, Inc.</v>
          </cell>
          <cell r="F12" t="str">
            <v>Preparer:</v>
          </cell>
          <cell r="G12" t="str">
            <v>Mr. Professional</v>
          </cell>
          <cell r="I12" t="str">
            <v>Prepared by:</v>
          </cell>
          <cell r="J12" t="str">
            <v>Illinois Corporate Investments Inc.</v>
          </cell>
        </row>
        <row r="14">
          <cell r="C14" t="str">
            <v xml:space="preserve">                             </v>
          </cell>
          <cell r="E14">
            <v>4.8968535306482313</v>
          </cell>
          <cell r="F14" t="str">
            <v>Income Statement (Pre-Acquisition)</v>
          </cell>
          <cell r="L14" t="str">
            <v xml:space="preserve">Financing </v>
          </cell>
          <cell r="M14" t="str">
            <v>Adv Rate</v>
          </cell>
          <cell r="N14" t="str">
            <v>Interest %</v>
          </cell>
          <cell r="O14" t="str">
            <v>Years</v>
          </cell>
        </row>
        <row r="15">
          <cell r="H15" t="str">
            <v>Sales</v>
          </cell>
          <cell r="I15" t="str">
            <v>5000</v>
          </cell>
          <cell r="L15" t="str">
            <v>Revolver: % of A/R</v>
          </cell>
          <cell r="M15" t="str">
            <v>80%</v>
          </cell>
          <cell r="N15" t="str">
            <v>10%</v>
          </cell>
          <cell r="O15" t="str">
            <v>Revolver</v>
          </cell>
        </row>
        <row r="16">
          <cell r="D16">
            <v>5.4409483673869232</v>
          </cell>
          <cell r="H16" t="str">
            <v>EBITDA (or SDE)</v>
          </cell>
          <cell r="I16" t="str">
            <v>750</v>
          </cell>
          <cell r="L16" t="str">
            <v>Revolver: % of Inventory</v>
          </cell>
          <cell r="M16" t="str">
            <v>40%</v>
          </cell>
          <cell r="N16" t="str">
            <v>10%</v>
          </cell>
          <cell r="O16" t="str">
            <v>Revolver</v>
          </cell>
        </row>
        <row r="17">
          <cell r="H17" t="str">
            <v>Less Additional Salaries/Expenses</v>
          </cell>
          <cell r="I17" t="str">
            <v>0</v>
          </cell>
          <cell r="L17" t="str">
            <v>Term Loan: % of FMVof FA</v>
          </cell>
          <cell r="M17" t="str">
            <v>80%</v>
          </cell>
          <cell r="N17">
            <v>0.1</v>
          </cell>
          <cell r="O17">
            <v>5</v>
          </cell>
        </row>
        <row r="18">
          <cell r="H18" t="str">
            <v>Less Rent if not deducted</v>
          </cell>
          <cell r="I18" t="str">
            <v>0</v>
          </cell>
          <cell r="L18" t="str">
            <v>Cap Ex Loan: % of Cap Ex</v>
          </cell>
          <cell r="M18" t="str">
            <v>75%</v>
          </cell>
          <cell r="N18" t="str">
            <v>10%</v>
          </cell>
          <cell r="O18" t="str">
            <v>5</v>
          </cell>
        </row>
        <row r="19">
          <cell r="H19" t="str">
            <v>Adj. EBITDA</v>
          </cell>
          <cell r="I19">
            <v>750</v>
          </cell>
          <cell r="L19" t="str">
            <v>Open Revolver Credit Facility</v>
          </cell>
          <cell r="M19" t="str">
            <v>Yes</v>
          </cell>
        </row>
        <row r="20">
          <cell r="C20" t="str">
            <v>Buyer's Actual ROE (IRR)</v>
          </cell>
          <cell r="D20">
            <v>0.34996876177992742</v>
          </cell>
          <cell r="H20" t="str">
            <v>EBITDA Margin</v>
          </cell>
          <cell r="I20">
            <v>0.15</v>
          </cell>
          <cell r="L20" t="str">
            <v>Buyer Equity (% of Price)</v>
          </cell>
          <cell r="M20">
            <v>0.24103582622417094</v>
          </cell>
        </row>
        <row r="21">
          <cell r="C21" t="str">
            <v>Buyer Equity</v>
          </cell>
          <cell r="D21">
            <v>0.24103582622417094</v>
          </cell>
          <cell r="L21" t="str">
            <v>Expected Pre-Tax ROE (%)</v>
          </cell>
          <cell r="M21">
            <v>0.35</v>
          </cell>
        </row>
        <row r="22">
          <cell r="B22" t="str">
            <v>Year1</v>
          </cell>
          <cell r="C22" t="str">
            <v>Year2</v>
          </cell>
          <cell r="D22" t="str">
            <v>Year3</v>
          </cell>
          <cell r="F22" t="str">
            <v>Operating Balance Sheet</v>
          </cell>
          <cell r="L22" t="str">
            <v>Deal Structure</v>
          </cell>
        </row>
        <row r="23">
          <cell r="A23" t="str">
            <v>BVX Cash Flow</v>
          </cell>
          <cell r="B23">
            <v>-5.68308023225228E-2</v>
          </cell>
          <cell r="C23">
            <v>0</v>
          </cell>
          <cell r="D23">
            <v>24.188243309805586</v>
          </cell>
          <cell r="E23">
            <v>62.125964236730056</v>
          </cell>
          <cell r="H23" t="str">
            <v>Operating Cash</v>
          </cell>
          <cell r="I23" t="str">
            <v>0</v>
          </cell>
          <cell r="L23" t="str">
            <v>Stock vs. Asset Purchase</v>
          </cell>
          <cell r="M23" t="str">
            <v>A</v>
          </cell>
        </row>
        <row r="24">
          <cell r="A24" t="str">
            <v>Add'l Revolver</v>
          </cell>
          <cell r="B24">
            <v>42</v>
          </cell>
          <cell r="C24">
            <v>10.458874331341391</v>
          </cell>
          <cell r="D24">
            <v>0</v>
          </cell>
          <cell r="E24">
            <v>103.60950861261662</v>
          </cell>
          <cell r="H24" t="str">
            <v>Fixed Assets @ Book Vaue(BV)</v>
          </cell>
          <cell r="I24" t="str">
            <v>500</v>
          </cell>
          <cell r="L24" t="str">
            <v>Purch Price Multiple</v>
          </cell>
          <cell r="M24">
            <v>4.8968535306482313</v>
          </cell>
        </row>
        <row r="25">
          <cell r="A25" t="str">
            <v>Taxable Income</v>
          </cell>
          <cell r="B25">
            <v>100.2250030304449</v>
          </cell>
          <cell r="C25">
            <v>154.25929249948467</v>
          </cell>
          <cell r="D25">
            <v>213.51980391039024</v>
          </cell>
          <cell r="E25">
            <v>0</v>
          </cell>
          <cell r="I25" t="str">
            <v>1000</v>
          </cell>
          <cell r="L25" t="str">
            <v>Gap(Seller) Note</v>
          </cell>
          <cell r="M25" t="str">
            <v>Yes</v>
          </cell>
          <cell r="N25">
            <v>0.1</v>
          </cell>
          <cell r="O25">
            <v>5</v>
          </cell>
        </row>
        <row r="26">
          <cell r="E26">
            <v>0</v>
          </cell>
          <cell r="F26" t="str">
            <v>Accounts Receivable (A/R )</v>
          </cell>
          <cell r="I26">
            <v>600</v>
          </cell>
          <cell r="L26" t="str">
            <v>Non-Compete</v>
          </cell>
          <cell r="M26">
            <v>0</v>
          </cell>
          <cell r="N26">
            <v>0.1</v>
          </cell>
          <cell r="O26">
            <v>5</v>
          </cell>
        </row>
        <row r="27">
          <cell r="D27">
            <v>3672.6401479861734</v>
          </cell>
          <cell r="E27">
            <v>278.4207419291605</v>
          </cell>
          <cell r="H27" t="str">
            <v>Inventory</v>
          </cell>
          <cell r="I27">
            <v>900</v>
          </cell>
          <cell r="L27" t="str">
            <v>Personal Goodwill</v>
          </cell>
          <cell r="M27">
            <v>0</v>
          </cell>
          <cell r="N27">
            <v>0.1</v>
          </cell>
          <cell r="O27">
            <v>5</v>
          </cell>
        </row>
        <row r="28">
          <cell r="C28" t="str">
            <v>Cash To Seller at Closing</v>
          </cell>
          <cell r="D28">
            <v>2451.785049534185</v>
          </cell>
          <cell r="E28">
            <v>349.39995262656089</v>
          </cell>
          <cell r="H28" t="str">
            <v>Other Misc. Assets</v>
          </cell>
          <cell r="I28" t="str">
            <v>0</v>
          </cell>
          <cell r="L28" t="str">
            <v>Total Consulting</v>
          </cell>
          <cell r="M28">
            <v>0</v>
          </cell>
          <cell r="N28">
            <v>0.08</v>
          </cell>
          <cell r="O28">
            <v>5</v>
          </cell>
        </row>
        <row r="29">
          <cell r="C29" t="str">
            <v>Gap(Seller) Note</v>
          </cell>
          <cell r="D29">
            <v>1220.8550984519884</v>
          </cell>
          <cell r="E29">
            <v>0</v>
          </cell>
          <cell r="H29" t="str">
            <v>Accounts Payable (A/P)</v>
          </cell>
          <cell r="I29">
            <v>300</v>
          </cell>
          <cell r="L29" t="str">
            <v xml:space="preserve">Miscellaneous </v>
          </cell>
        </row>
        <row r="30">
          <cell r="C30" t="str">
            <v>Gap(Seller) Balloon Note</v>
          </cell>
          <cell r="D30">
            <v>0</v>
          </cell>
          <cell r="F30">
            <v>700</v>
          </cell>
          <cell r="H30" t="str">
            <v>Other Misc. Liabilities</v>
          </cell>
          <cell r="I30" t="str">
            <v>0</v>
          </cell>
          <cell r="L30" t="str">
            <v>Exit Multiple (EM)</v>
          </cell>
          <cell r="M30">
            <v>4.889125406231515</v>
          </cell>
          <cell r="N30" t="str">
            <v>Max EM</v>
          </cell>
          <cell r="O30">
            <v>100</v>
          </cell>
        </row>
        <row r="31">
          <cell r="C31" t="str">
            <v>Remaining Non-Compete</v>
          </cell>
          <cell r="D31">
            <v>0</v>
          </cell>
          <cell r="F31" t="str">
            <v>Net Assets @ BV</v>
          </cell>
          <cell r="G31">
            <v>200</v>
          </cell>
          <cell r="H31" t="str">
            <v>@ FMV</v>
          </cell>
          <cell r="I31">
            <v>700</v>
          </cell>
          <cell r="L31" t="str">
            <v>Cash Reserve @ YE(% EBITDA)</v>
          </cell>
          <cell r="N31" t="str">
            <v>3%</v>
          </cell>
          <cell r="O31" t="str">
            <v>Auto</v>
          </cell>
        </row>
        <row r="32">
          <cell r="C32" t="str">
            <v>Personal Goodwill</v>
          </cell>
          <cell r="D32">
            <v>0</v>
          </cell>
          <cell r="H32" t="str">
            <v>Future Growth &amp; Expenses</v>
          </cell>
          <cell r="L32" t="str">
            <v>Dividend Distribution-Regular</v>
          </cell>
          <cell r="M32" t="str">
            <v>0%</v>
          </cell>
          <cell r="N32" t="str">
            <v>of excess cash flow</v>
          </cell>
          <cell r="O32">
            <v>0</v>
          </cell>
        </row>
        <row r="33">
          <cell r="C33" t="str">
            <v>Remaining Consulting</v>
          </cell>
          <cell r="D33">
            <v>0</v>
          </cell>
          <cell r="H33" t="str">
            <v>Sales Growth per yr</v>
          </cell>
          <cell r="I33">
            <v>0.05</v>
          </cell>
          <cell r="L33" t="str">
            <v>Acquisition Expenses</v>
          </cell>
          <cell r="M33" t="str">
            <v>2%</v>
          </cell>
          <cell r="N33" t="str">
            <v>of Purchase Price</v>
          </cell>
          <cell r="O33">
            <v>0.15</v>
          </cell>
        </row>
        <row r="34">
          <cell r="D34">
            <v>885.23785249390869</v>
          </cell>
          <cell r="H34" t="str">
            <v>Cap. Exp. (% of EBITDA) per yr</v>
          </cell>
          <cell r="I34">
            <v>0.1</v>
          </cell>
          <cell r="L34" t="str">
            <v>Closing Cost at Exit</v>
          </cell>
          <cell r="M34" t="str">
            <v>5%</v>
          </cell>
          <cell r="N34" t="str">
            <v>of Selling Price</v>
          </cell>
          <cell r="O34">
            <v>0.35</v>
          </cell>
        </row>
        <row r="35">
          <cell r="H35" t="str">
            <v>EBITDA % Margin per yr</v>
          </cell>
          <cell r="I35" t="str">
            <v>Same</v>
          </cell>
          <cell r="M35" t="str">
            <v>5</v>
          </cell>
          <cell r="O35" t="str">
            <v>5</v>
          </cell>
          <cell r="Q35">
            <v>1</v>
          </cell>
        </row>
        <row r="36">
          <cell r="C36" t="str">
            <v>Goodwill</v>
          </cell>
          <cell r="D36">
            <v>2472.6401479861734</v>
          </cell>
          <cell r="H36" t="str">
            <v>Taxation</v>
          </cell>
          <cell r="L36" t="str">
            <v>Advanced Features</v>
          </cell>
        </row>
        <row r="37">
          <cell r="C37" t="str">
            <v>Actual Mezzanine ROI</v>
          </cell>
          <cell r="D37">
            <v>0</v>
          </cell>
          <cell r="H37" t="str">
            <v>Corp. Type: C or S</v>
          </cell>
          <cell r="I37" t="str">
            <v>S</v>
          </cell>
        </row>
        <row r="38">
          <cell r="H38" t="str">
            <v>S Shrhldr Tax Rate: Fed+State</v>
          </cell>
          <cell r="I38" t="str">
            <v>40%</v>
          </cell>
          <cell r="M38">
            <v>0.8</v>
          </cell>
          <cell r="N38">
            <v>0.1</v>
          </cell>
          <cell r="O38">
            <v>5</v>
          </cell>
        </row>
        <row r="39">
          <cell r="C39" t="str">
            <v>Real Est Price</v>
          </cell>
          <cell r="D39">
            <v>0</v>
          </cell>
          <cell r="H39" t="str">
            <v>S Corp Tax Rate: State</v>
          </cell>
          <cell r="I39" t="str">
            <v>3%</v>
          </cell>
          <cell r="L39" t="str">
            <v>Over Advance Loan</v>
          </cell>
          <cell r="M39" t="str">
            <v>300</v>
          </cell>
          <cell r="N39" t="str">
            <v>0.1</v>
          </cell>
          <cell r="O39" t="str">
            <v>3</v>
          </cell>
        </row>
        <row r="40">
          <cell r="C40" t="str">
            <v>RE Equity</v>
          </cell>
          <cell r="D40">
            <v>0</v>
          </cell>
          <cell r="N40" t="str">
            <v>Gap(Seller) Note Principal Payments Deferral</v>
          </cell>
          <cell r="O40">
            <v>0</v>
          </cell>
        </row>
        <row r="41">
          <cell r="C41" t="str">
            <v>RE Bank Loan</v>
          </cell>
          <cell r="D41">
            <v>0</v>
          </cell>
          <cell r="L41" t="str">
            <v>Gap(Seller) Balloon Note</v>
          </cell>
          <cell r="M41">
            <v>0</v>
          </cell>
          <cell r="N41">
            <v>0.1</v>
          </cell>
          <cell r="O41">
            <v>5</v>
          </cell>
        </row>
        <row r="42">
          <cell r="C42" t="str">
            <v>RE ROI</v>
          </cell>
          <cell r="D42">
            <v>0</v>
          </cell>
          <cell r="L42" t="str">
            <v>Mezzanine Financing</v>
          </cell>
          <cell r="M42" t="str">
            <v>300</v>
          </cell>
          <cell r="N42" t="str">
            <v>0.1</v>
          </cell>
          <cell r="O42" t="str">
            <v>0</v>
          </cell>
        </row>
        <row r="43">
          <cell r="L43" t="str">
            <v>Mezzanine Expected ROI</v>
          </cell>
          <cell r="M43" t="str">
            <v>0.22</v>
          </cell>
          <cell r="N43" t="str">
            <v>0</v>
          </cell>
          <cell r="O43">
            <v>0</v>
          </cell>
        </row>
        <row r="44">
          <cell r="D44">
            <v>0</v>
          </cell>
          <cell r="O44" t="str">
            <v>Mezz Equity</v>
          </cell>
        </row>
        <row r="45">
          <cell r="L45" t="str">
            <v>Prepaid Consulting</v>
          </cell>
          <cell r="M45">
            <v>0</v>
          </cell>
        </row>
        <row r="63">
          <cell r="A63" t="str">
            <v>Prepared for:</v>
          </cell>
          <cell r="B63" t="str">
            <v>Mr. Client</v>
          </cell>
          <cell r="E63" t="str">
            <v>Bank Loan Details, Sources/Uses of Funds,</v>
          </cell>
          <cell r="M63">
            <v>44412.60115613426</v>
          </cell>
        </row>
        <row r="64">
          <cell r="A64" t="str">
            <v>Company:</v>
          </cell>
          <cell r="B64" t="str">
            <v>Best Business, Inc.</v>
          </cell>
          <cell r="E64" t="str">
            <v>and Purch. Price Allocation</v>
          </cell>
        </row>
        <row r="65">
          <cell r="E65" t="str">
            <v>Preparer:</v>
          </cell>
          <cell r="F65" t="str">
            <v>Mr. Professional</v>
          </cell>
          <cell r="H65" t="str">
            <v>Prepared by:</v>
          </cell>
          <cell r="I65" t="str">
            <v>Illinois Corporate Investments Inc.</v>
          </cell>
        </row>
        <row r="70">
          <cell r="B70" t="str">
            <v>Bank Loan Details</v>
          </cell>
          <cell r="F70" t="str">
            <v>Sources of Funds</v>
          </cell>
          <cell r="J70" t="str">
            <v>Uses of Funds</v>
          </cell>
          <cell r="N70" t="str">
            <v>Purchase Price Allocation</v>
          </cell>
        </row>
        <row r="71">
          <cell r="B71" t="str">
            <v>Revolver: % of A/R</v>
          </cell>
          <cell r="C71">
            <v>480</v>
          </cell>
          <cell r="F71" t="str">
            <v>Bank &amp; Mezz Debt</v>
          </cell>
          <cell r="G71">
            <v>1640</v>
          </cell>
          <cell r="J71" t="str">
            <v>Cash Down Payment</v>
          </cell>
          <cell r="K71">
            <v>2451.785049534185</v>
          </cell>
          <cell r="N71" t="str">
            <v>Tangible Assets</v>
          </cell>
          <cell r="O71">
            <v>1500</v>
          </cell>
        </row>
        <row r="72">
          <cell r="B72" t="str">
            <v>Revolver: % of Inventory</v>
          </cell>
          <cell r="C72">
            <v>360</v>
          </cell>
          <cell r="F72" t="str">
            <v>Buyer Equity</v>
          </cell>
          <cell r="G72">
            <v>885.23785249390869</v>
          </cell>
          <cell r="K72">
            <v>0</v>
          </cell>
          <cell r="N72" t="str">
            <v>Acquisition Expenses</v>
          </cell>
          <cell r="O72">
            <v>73.452802959723471</v>
          </cell>
        </row>
        <row r="73">
          <cell r="B73" t="str">
            <v>Term Loan</v>
          </cell>
          <cell r="C73">
            <v>800</v>
          </cell>
          <cell r="F73" t="str">
            <v>Gap(Seller) Note</v>
          </cell>
          <cell r="G73">
            <v>1220.8550984519884</v>
          </cell>
          <cell r="J73" t="str">
            <v>Gap(Seller) Note</v>
          </cell>
          <cell r="K73">
            <v>1220.8550984519884</v>
          </cell>
          <cell r="N73" t="str">
            <v>Non-Compete</v>
          </cell>
          <cell r="O73">
            <v>0</v>
          </cell>
        </row>
        <row r="74">
          <cell r="B74" t="str">
            <v>Over Advance Loan</v>
          </cell>
          <cell r="C74">
            <v>0</v>
          </cell>
          <cell r="F74" t="str">
            <v>Gap(Seller) Balloon Note</v>
          </cell>
          <cell r="G74">
            <v>0</v>
          </cell>
          <cell r="J74" t="str">
            <v>Gap(Seller) Balloon Note</v>
          </cell>
          <cell r="K74">
            <v>0</v>
          </cell>
          <cell r="N74" t="str">
            <v>Personal Goodwill</v>
          </cell>
          <cell r="O74">
            <v>0</v>
          </cell>
        </row>
        <row r="75">
          <cell r="B75" t="str">
            <v>Mezzanine Financing</v>
          </cell>
          <cell r="C75">
            <v>0</v>
          </cell>
          <cell r="F75" t="str">
            <v>Remaining Non-Compete</v>
          </cell>
          <cell r="G75">
            <v>0</v>
          </cell>
          <cell r="J75" t="str">
            <v>Remaining Non-Compete</v>
          </cell>
          <cell r="K75">
            <v>0</v>
          </cell>
          <cell r="N75" t="str">
            <v>Prepaid Consulting</v>
          </cell>
          <cell r="O75">
            <v>0</v>
          </cell>
        </row>
        <row r="76">
          <cell r="B76" t="str">
            <v>Bank &amp; Mezz Debt</v>
          </cell>
          <cell r="C76">
            <v>1640</v>
          </cell>
          <cell r="F76" t="str">
            <v>Remaining Personal Goodwill</v>
          </cell>
          <cell r="G76">
            <v>0</v>
          </cell>
          <cell r="J76" t="str">
            <v>Remaining Personal Goodwill</v>
          </cell>
          <cell r="K76">
            <v>0</v>
          </cell>
          <cell r="N76" t="str">
            <v>Remaining Consulting (PV*)</v>
          </cell>
          <cell r="O76">
            <v>0</v>
          </cell>
        </row>
        <row r="77">
          <cell r="B77" t="str">
            <v>RE Loan</v>
          </cell>
          <cell r="C77">
            <v>0</v>
          </cell>
          <cell r="F77" t="str">
            <v>Remaining Consulting (PV)</v>
          </cell>
          <cell r="G77">
            <v>0</v>
          </cell>
          <cell r="J77" t="str">
            <v>Remaining Consulting (PV)</v>
          </cell>
          <cell r="K77">
            <v>0</v>
          </cell>
          <cell r="N77" t="str">
            <v>Goodwill</v>
          </cell>
          <cell r="O77">
            <v>2472.6401479861734</v>
          </cell>
        </row>
        <row r="78">
          <cell r="B78" t="str">
            <v>Total  Debt</v>
          </cell>
          <cell r="C78">
            <v>1640</v>
          </cell>
          <cell r="F78" t="str">
            <v>Total Sources of Funds</v>
          </cell>
          <cell r="G78">
            <v>3746.092950945897</v>
          </cell>
          <cell r="J78" t="str">
            <v>Purchase Price</v>
          </cell>
          <cell r="K78">
            <v>3672.6401479861734</v>
          </cell>
          <cell r="N78" t="str">
            <v>Total Consideration</v>
          </cell>
          <cell r="O78">
            <v>4046.0929509458965</v>
          </cell>
        </row>
        <row r="79">
          <cell r="J79" t="str">
            <v>Acquisition Expenses</v>
          </cell>
          <cell r="K79">
            <v>73.452802959723471</v>
          </cell>
        </row>
        <row r="80">
          <cell r="J80" t="str">
            <v>Uses of Funds</v>
          </cell>
          <cell r="K80">
            <v>3746.092950945897</v>
          </cell>
        </row>
        <row r="81">
          <cell r="F81" t="str">
            <v>Assumed Liabilities</v>
          </cell>
          <cell r="G81">
            <v>300</v>
          </cell>
          <cell r="N81" t="str">
            <v>Difference = (Total Consulting- PV)</v>
          </cell>
          <cell r="O81">
            <v>0</v>
          </cell>
        </row>
        <row r="82">
          <cell r="F82" t="str">
            <v/>
          </cell>
          <cell r="G82">
            <v>0</v>
          </cell>
          <cell r="N82" t="str">
            <v>Total Consideration: Balance Sheet</v>
          </cell>
          <cell r="O82">
            <v>4046.0929509458965</v>
          </cell>
        </row>
        <row r="83">
          <cell r="F83" t="str">
            <v>Total Consideration</v>
          </cell>
          <cell r="G83">
            <v>4046.092950945897</v>
          </cell>
          <cell r="I83" t="str">
            <v>* PV is Present Value of Consulting @ 8%</v>
          </cell>
        </row>
        <row r="113">
          <cell r="A113" t="str">
            <v>Prepared for:</v>
          </cell>
          <cell r="B113" t="str">
            <v>Mr. Client</v>
          </cell>
          <cell r="F113" t="str">
            <v>Income Statement Projections</v>
          </cell>
          <cell r="K113">
            <v>44412.60115613426</v>
          </cell>
        </row>
        <row r="114">
          <cell r="A114" t="str">
            <v>Company:</v>
          </cell>
          <cell r="B114" t="str">
            <v>Best Business, Inc.</v>
          </cell>
          <cell r="E114" t="str">
            <v>Preparer:</v>
          </cell>
          <cell r="F114" t="str">
            <v>Mr. Professional</v>
          </cell>
          <cell r="H114" t="str">
            <v>Prepared by:</v>
          </cell>
          <cell r="I114" t="str">
            <v>Illinois Corporate Investments Inc.</v>
          </cell>
        </row>
        <row r="116">
          <cell r="E116" t="str">
            <v>Year0</v>
          </cell>
          <cell r="F116" t="str">
            <v>Year1</v>
          </cell>
          <cell r="G116" t="str">
            <v>Year2</v>
          </cell>
          <cell r="H116" t="str">
            <v>Year3</v>
          </cell>
          <cell r="I116" t="str">
            <v>Year4</v>
          </cell>
          <cell r="J116" t="str">
            <v>Year5</v>
          </cell>
        </row>
        <row r="118">
          <cell r="D118" t="str">
            <v>Sales</v>
          </cell>
          <cell r="E118" t="str">
            <v>5000</v>
          </cell>
          <cell r="F118">
            <v>5250</v>
          </cell>
          <cell r="G118">
            <v>5512.5</v>
          </cell>
          <cell r="H118">
            <v>5788.125</v>
          </cell>
          <cell r="I118">
            <v>6077.53125</v>
          </cell>
          <cell r="J118">
            <v>6381.4078125000005</v>
          </cell>
        </row>
        <row r="119">
          <cell r="D119" t="str">
            <v>Sales Growth (%)</v>
          </cell>
          <cell r="F119">
            <v>0.05</v>
          </cell>
          <cell r="G119">
            <v>0.05</v>
          </cell>
          <cell r="H119">
            <v>0.05</v>
          </cell>
          <cell r="I119">
            <v>0.05</v>
          </cell>
          <cell r="J119">
            <v>5.0000000000000093E-2</v>
          </cell>
        </row>
        <row r="120">
          <cell r="D120" t="str">
            <v>EBITDA</v>
          </cell>
          <cell r="E120">
            <v>750</v>
          </cell>
          <cell r="F120">
            <v>787.5</v>
          </cell>
          <cell r="G120">
            <v>826.875</v>
          </cell>
          <cell r="H120">
            <v>868.21875</v>
          </cell>
          <cell r="I120">
            <v>911.62968749999993</v>
          </cell>
          <cell r="J120">
            <v>957.21117187499999</v>
          </cell>
        </row>
        <row r="121">
          <cell r="D121" t="str">
            <v>EBITDA (%)</v>
          </cell>
          <cell r="E121">
            <v>0.15</v>
          </cell>
          <cell r="F121">
            <v>0.15</v>
          </cell>
          <cell r="G121">
            <v>0.15</v>
          </cell>
          <cell r="H121">
            <v>0.15</v>
          </cell>
          <cell r="I121">
            <v>0.15</v>
          </cell>
          <cell r="J121">
            <v>0.15</v>
          </cell>
        </row>
        <row r="123">
          <cell r="E123" t="str">
            <v>Depreciation</v>
          </cell>
          <cell r="F123">
            <v>215.75</v>
          </cell>
          <cell r="G123">
            <v>232.28750000000002</v>
          </cell>
          <cell r="H123">
            <v>249.65187500000002</v>
          </cell>
          <cell r="I123">
            <v>267.88446875</v>
          </cell>
          <cell r="J123">
            <v>287.02869218750004</v>
          </cell>
        </row>
        <row r="124">
          <cell r="E124" t="str">
            <v>Non-Compete Amortization</v>
          </cell>
          <cell r="F124">
            <v>0</v>
          </cell>
          <cell r="G124">
            <v>0</v>
          </cell>
          <cell r="H124">
            <v>0</v>
          </cell>
          <cell r="I124">
            <v>0</v>
          </cell>
          <cell r="J124">
            <v>0</v>
          </cell>
        </row>
        <row r="125">
          <cell r="E125" t="str">
            <v>Personal Goodwill Amortization</v>
          </cell>
          <cell r="F125">
            <v>0</v>
          </cell>
          <cell r="G125">
            <v>0</v>
          </cell>
          <cell r="H125">
            <v>0</v>
          </cell>
          <cell r="I125">
            <v>0</v>
          </cell>
          <cell r="J125">
            <v>0</v>
          </cell>
        </row>
        <row r="126">
          <cell r="E126" t="str">
            <v>Remaining Consulting Payments</v>
          </cell>
          <cell r="F126">
            <v>0</v>
          </cell>
          <cell r="G126">
            <v>0</v>
          </cell>
          <cell r="H126">
            <v>0</v>
          </cell>
          <cell r="I126">
            <v>0</v>
          </cell>
          <cell r="J126">
            <v>0</v>
          </cell>
        </row>
        <row r="127">
          <cell r="E127" t="str">
            <v>Prepaid Consulting Amortization</v>
          </cell>
          <cell r="F127">
            <v>0</v>
          </cell>
          <cell r="G127">
            <v>0</v>
          </cell>
          <cell r="H127">
            <v>0</v>
          </cell>
          <cell r="I127">
            <v>0</v>
          </cell>
          <cell r="J127">
            <v>0</v>
          </cell>
        </row>
        <row r="128">
          <cell r="E128" t="str">
            <v>Earn-out Payments:Expense</v>
          </cell>
          <cell r="F128">
            <v>0</v>
          </cell>
          <cell r="G128">
            <v>0</v>
          </cell>
          <cell r="H128">
            <v>0</v>
          </cell>
          <cell r="I128">
            <v>0</v>
          </cell>
          <cell r="J128">
            <v>0</v>
          </cell>
        </row>
        <row r="129">
          <cell r="E129" t="str">
            <v>Acquisition Cost Amort</v>
          </cell>
          <cell r="F129">
            <v>14.690560591944694</v>
          </cell>
          <cell r="G129">
            <v>14.690560591944694</v>
          </cell>
          <cell r="H129">
            <v>14.690560591944694</v>
          </cell>
          <cell r="I129">
            <v>14.690560591944694</v>
          </cell>
          <cell r="J129">
            <v>14.690560591944694</v>
          </cell>
        </row>
        <row r="130">
          <cell r="E130" t="str">
            <v>Goodwill Amort (Tax deductible)</v>
          </cell>
          <cell r="F130">
            <v>164.84267653241156</v>
          </cell>
          <cell r="G130">
            <v>164.84267653241156</v>
          </cell>
          <cell r="H130">
            <v>164.84267653241156</v>
          </cell>
          <cell r="I130">
            <v>164.84267653241156</v>
          </cell>
          <cell r="J130">
            <v>164.84267653241156</v>
          </cell>
        </row>
        <row r="131">
          <cell r="E131" t="str">
            <v>Interest Exp-Revolver</v>
          </cell>
          <cell r="F131">
            <v>84</v>
          </cell>
          <cell r="G131">
            <v>88.2</v>
          </cell>
          <cell r="H131">
            <v>89.245887433134143</v>
          </cell>
          <cell r="I131">
            <v>86.827063102153588</v>
          </cell>
          <cell r="J131">
            <v>80.614466678480582</v>
          </cell>
        </row>
        <row r="132">
          <cell r="E132" t="str">
            <v>Interest Exp-Term Loan</v>
          </cell>
          <cell r="F132">
            <v>80</v>
          </cell>
          <cell r="G132">
            <v>64</v>
          </cell>
          <cell r="H132">
            <v>48</v>
          </cell>
          <cell r="I132">
            <v>32</v>
          </cell>
          <cell r="J132">
            <v>16</v>
          </cell>
        </row>
        <row r="133">
          <cell r="E133" t="str">
            <v>Interest Exp-Over Advance Loan</v>
          </cell>
          <cell r="F133">
            <v>0</v>
          </cell>
          <cell r="G133">
            <v>0</v>
          </cell>
          <cell r="H133">
            <v>0</v>
          </cell>
          <cell r="I133">
            <v>0</v>
          </cell>
          <cell r="J133">
            <v>0</v>
          </cell>
          <cell r="L133">
            <v>0.81641483860721253</v>
          </cell>
        </row>
        <row r="134">
          <cell r="E134" t="str">
            <v>Interest Exp-Mezzanine Financing</v>
          </cell>
          <cell r="F134">
            <v>0</v>
          </cell>
          <cell r="G134">
            <v>0</v>
          </cell>
          <cell r="H134">
            <v>0</v>
          </cell>
          <cell r="I134">
            <v>0</v>
          </cell>
          <cell r="J134">
            <v>0</v>
          </cell>
        </row>
        <row r="135">
          <cell r="E135" t="str">
            <v>Interest Exp-Cap Ex Loan</v>
          </cell>
          <cell r="F135">
            <v>5.90625</v>
          </cell>
          <cell r="G135">
            <v>10.926562500000001</v>
          </cell>
          <cell r="H135">
            <v>15.016640625000003</v>
          </cell>
          <cell r="I135">
            <v>18.129972656250004</v>
          </cell>
          <cell r="J135">
            <v>20.217721289062506</v>
          </cell>
        </row>
        <row r="136">
          <cell r="E136" t="str">
            <v>Interest Exp-Gap(Seller) Note</v>
          </cell>
          <cell r="F136">
            <v>122.08550984519884</v>
          </cell>
          <cell r="G136">
            <v>97.66840787615908</v>
          </cell>
          <cell r="H136">
            <v>73.251305907119317</v>
          </cell>
          <cell r="I136">
            <v>48.834203938079547</v>
          </cell>
          <cell r="J136">
            <v>24.417101969039777</v>
          </cell>
        </row>
        <row r="137">
          <cell r="E137" t="str">
            <v>Interest Exp-Gap(Seller) Balloon Note</v>
          </cell>
          <cell r="F137">
            <v>0</v>
          </cell>
          <cell r="G137">
            <v>0</v>
          </cell>
          <cell r="H137">
            <v>0</v>
          </cell>
          <cell r="I137">
            <v>0</v>
          </cell>
          <cell r="J137">
            <v>0</v>
          </cell>
        </row>
        <row r="138">
          <cell r="E138" t="str">
            <v>Interest Exp-Non-Compete</v>
          </cell>
          <cell r="F138">
            <v>0</v>
          </cell>
          <cell r="G138">
            <v>0</v>
          </cell>
          <cell r="H138">
            <v>0</v>
          </cell>
          <cell r="I138">
            <v>0</v>
          </cell>
          <cell r="J138">
            <v>0</v>
          </cell>
        </row>
        <row r="139">
          <cell r="E139" t="str">
            <v>Interest Expense-Personal Goodwill</v>
          </cell>
          <cell r="F139">
            <v>0</v>
          </cell>
          <cell r="G139">
            <v>0</v>
          </cell>
          <cell r="H139">
            <v>0</v>
          </cell>
          <cell r="I139">
            <v>0</v>
          </cell>
          <cell r="J139">
            <v>0</v>
          </cell>
        </row>
        <row r="140">
          <cell r="E140" t="str">
            <v>Interest Income on Cash</v>
          </cell>
          <cell r="F140">
            <v>0</v>
          </cell>
          <cell r="G140">
            <v>0</v>
          </cell>
          <cell r="H140">
            <v>0</v>
          </cell>
          <cell r="I140">
            <v>0</v>
          </cell>
          <cell r="J140">
            <v>0</v>
          </cell>
        </row>
        <row r="142">
          <cell r="E142" t="str">
            <v>Taxable Income</v>
          </cell>
          <cell r="F142">
            <v>100.2250030304449</v>
          </cell>
          <cell r="G142">
            <v>154.25929249948467</v>
          </cell>
          <cell r="H142">
            <v>213.51980391039024</v>
          </cell>
          <cell r="I142">
            <v>278.4207419291605</v>
          </cell>
          <cell r="J142">
            <v>349.39995262656089</v>
          </cell>
        </row>
        <row r="143">
          <cell r="E143" t="str">
            <v>Corp. Taxes: State</v>
          </cell>
          <cell r="F143">
            <v>3.0067500909133469</v>
          </cell>
          <cell r="G143">
            <v>4.6277787749845398</v>
          </cell>
          <cell r="H143">
            <v>6.4055941173117068</v>
          </cell>
          <cell r="I143">
            <v>8.352622257874815</v>
          </cell>
          <cell r="J143">
            <v>10.481998578796826</v>
          </cell>
        </row>
        <row r="144">
          <cell r="E144" t="str">
            <v>Corp. Taxes: Federal</v>
          </cell>
          <cell r="F144">
            <v>0</v>
          </cell>
          <cell r="G144">
            <v>0</v>
          </cell>
          <cell r="H144">
            <v>0</v>
          </cell>
          <cell r="I144">
            <v>0</v>
          </cell>
          <cell r="J144">
            <v>0</v>
          </cell>
        </row>
        <row r="145">
          <cell r="E145" t="str">
            <v>Net Income</v>
          </cell>
          <cell r="F145">
            <v>97.218252939531553</v>
          </cell>
          <cell r="G145">
            <v>149.63151372450014</v>
          </cell>
          <cell r="H145">
            <v>207.11420979307854</v>
          </cell>
          <cell r="I145">
            <v>270.06811967128567</v>
          </cell>
          <cell r="J145">
            <v>338.91795404776406</v>
          </cell>
        </row>
        <row r="163">
          <cell r="A163" t="str">
            <v>Prepared for:</v>
          </cell>
          <cell r="B163" t="str">
            <v>Mr. Client</v>
          </cell>
          <cell r="F163" t="str">
            <v>Cash Flow Projections</v>
          </cell>
          <cell r="K163">
            <v>44412.60115613426</v>
          </cell>
        </row>
        <row r="164">
          <cell r="A164" t="str">
            <v>Company:</v>
          </cell>
          <cell r="B164" t="str">
            <v>Best Business, Inc.</v>
          </cell>
          <cell r="E164" t="str">
            <v>Preparer:</v>
          </cell>
          <cell r="F164" t="str">
            <v>Mr. Professional</v>
          </cell>
          <cell r="H164" t="str">
            <v>Prepared by:</v>
          </cell>
          <cell r="I164" t="str">
            <v>Illinois Corporate Investments Inc.</v>
          </cell>
        </row>
        <row r="166">
          <cell r="F166" t="str">
            <v>Year1</v>
          </cell>
          <cell r="G166" t="str">
            <v>Year2</v>
          </cell>
          <cell r="H166" t="str">
            <v>Year3</v>
          </cell>
          <cell r="I166" t="str">
            <v>Year4</v>
          </cell>
          <cell r="J166" t="str">
            <v>Year5</v>
          </cell>
        </row>
        <row r="168">
          <cell r="E168" t="str">
            <v>Net Income</v>
          </cell>
          <cell r="F168">
            <v>97.218252939531553</v>
          </cell>
          <cell r="G168">
            <v>149.63151372450014</v>
          </cell>
          <cell r="H168">
            <v>207.11420979307854</v>
          </cell>
          <cell r="I168">
            <v>270.06811967128567</v>
          </cell>
          <cell r="J168">
            <v>338.91795404776406</v>
          </cell>
        </row>
        <row r="169">
          <cell r="E169" t="str">
            <v>Depreciation</v>
          </cell>
          <cell r="F169">
            <v>215.75</v>
          </cell>
          <cell r="G169">
            <v>232.28750000000002</v>
          </cell>
          <cell r="H169">
            <v>249.65187500000002</v>
          </cell>
          <cell r="I169">
            <v>267.88446875</v>
          </cell>
          <cell r="J169">
            <v>287.02869218750004</v>
          </cell>
        </row>
        <row r="170">
          <cell r="E170" t="str">
            <v>Non-Compete Amortization</v>
          </cell>
          <cell r="F170">
            <v>0</v>
          </cell>
          <cell r="G170">
            <v>0</v>
          </cell>
          <cell r="H170">
            <v>0</v>
          </cell>
          <cell r="I170">
            <v>0</v>
          </cell>
          <cell r="J170">
            <v>0</v>
          </cell>
        </row>
        <row r="171">
          <cell r="E171" t="str">
            <v>Personal Goodwill Amortization</v>
          </cell>
          <cell r="F171">
            <v>0</v>
          </cell>
          <cell r="G171">
            <v>0</v>
          </cell>
          <cell r="H171">
            <v>0</v>
          </cell>
          <cell r="I171">
            <v>0</v>
          </cell>
          <cell r="J171">
            <v>0</v>
          </cell>
        </row>
        <row r="172">
          <cell r="E172" t="str">
            <v>Prepaid Consulting Amortization</v>
          </cell>
          <cell r="F172">
            <v>0</v>
          </cell>
          <cell r="G172">
            <v>0</v>
          </cell>
          <cell r="H172">
            <v>0</v>
          </cell>
          <cell r="I172">
            <v>0</v>
          </cell>
          <cell r="J172">
            <v>0</v>
          </cell>
        </row>
        <row r="173">
          <cell r="E173" t="str">
            <v>Acquisition Cost Amortization</v>
          </cell>
          <cell r="F173">
            <v>14.690560591944694</v>
          </cell>
          <cell r="G173">
            <v>14.690560591944694</v>
          </cell>
          <cell r="H173">
            <v>14.690560591944694</v>
          </cell>
          <cell r="I173">
            <v>14.690560591944694</v>
          </cell>
          <cell r="J173">
            <v>14.690560591944694</v>
          </cell>
        </row>
        <row r="174">
          <cell r="E174" t="str">
            <v>Goodwill Amortization</v>
          </cell>
          <cell r="F174">
            <v>164.84267653241156</v>
          </cell>
          <cell r="G174">
            <v>164.84267653241156</v>
          </cell>
          <cell r="H174">
            <v>164.84267653241156</v>
          </cell>
          <cell r="I174">
            <v>164.84267653241156</v>
          </cell>
          <cell r="J174">
            <v>164.84267653241156</v>
          </cell>
        </row>
        <row r="175">
          <cell r="E175" t="str">
            <v>WC Change</v>
          </cell>
          <cell r="F175">
            <v>-60</v>
          </cell>
          <cell r="G175">
            <v>-63</v>
          </cell>
          <cell r="H175">
            <v>-66.150000000000091</v>
          </cell>
          <cell r="I175">
            <v>-69.457499999999982</v>
          </cell>
          <cell r="J175">
            <v>-72.930375000000367</v>
          </cell>
        </row>
        <row r="176">
          <cell r="E176" t="str">
            <v>Revolver Paydown due to WC</v>
          </cell>
          <cell r="F176">
            <v>0</v>
          </cell>
          <cell r="G176">
            <v>0</v>
          </cell>
          <cell r="H176">
            <v>0</v>
          </cell>
          <cell r="I176">
            <v>0</v>
          </cell>
          <cell r="J176">
            <v>0</v>
          </cell>
        </row>
        <row r="177">
          <cell r="E177" t="str">
            <v>Term Loan Payment</v>
          </cell>
        </row>
        <row r="178">
          <cell r="E178" t="str">
            <v>Over Advance Loan Payment</v>
          </cell>
        </row>
        <row r="179">
          <cell r="E179" t="str">
            <v>Mezzanine Financing Payment</v>
          </cell>
        </row>
        <row r="180">
          <cell r="E180" t="str">
            <v>Gap(Seller) Note Payment</v>
          </cell>
        </row>
        <row r="181">
          <cell r="E181" t="str">
            <v>Gap(Seller) Balloon Note Payment</v>
          </cell>
          <cell r="F181">
            <v>0</v>
          </cell>
          <cell r="G181">
            <v>0</v>
          </cell>
          <cell r="H181">
            <v>0</v>
          </cell>
          <cell r="I181">
            <v>0</v>
          </cell>
          <cell r="J181">
            <v>0</v>
          </cell>
        </row>
        <row r="182">
          <cell r="E182" t="str">
            <v>Remaining Non-Compete Payment</v>
          </cell>
          <cell r="F182">
            <v>0</v>
          </cell>
          <cell r="G182">
            <v>0</v>
          </cell>
          <cell r="H182">
            <v>0</v>
          </cell>
          <cell r="I182">
            <v>0</v>
          </cell>
          <cell r="J182">
            <v>0</v>
          </cell>
        </row>
        <row r="183">
          <cell r="E183" t="str">
            <v>Remaining Personal Goodwill Payment</v>
          </cell>
          <cell r="F183">
            <v>0</v>
          </cell>
          <cell r="G183">
            <v>0</v>
          </cell>
          <cell r="H183">
            <v>0</v>
          </cell>
          <cell r="I183">
            <v>0</v>
          </cell>
          <cell r="J183">
            <v>0</v>
          </cell>
        </row>
        <row r="184">
          <cell r="E184" t="str">
            <v>Capital Expenditure</v>
          </cell>
          <cell r="F184">
            <v>-78.75</v>
          </cell>
          <cell r="G184">
            <v>-82.6875</v>
          </cell>
          <cell r="H184">
            <v>-86.821875000000006</v>
          </cell>
          <cell r="I184">
            <v>-91.162968750000005</v>
          </cell>
          <cell r="J184">
            <v>-95.721117187499999</v>
          </cell>
        </row>
        <row r="185">
          <cell r="E185" t="str">
            <v>Capital Exp Borrowing</v>
          </cell>
          <cell r="F185">
            <v>59.0625</v>
          </cell>
          <cell r="G185">
            <v>62.015625</v>
          </cell>
          <cell r="H185">
            <v>65.116406250000011</v>
          </cell>
          <cell r="I185">
            <v>68.372226562500003</v>
          </cell>
          <cell r="J185">
            <v>71.790837890624999</v>
          </cell>
        </row>
        <row r="186">
          <cell r="E186" t="str">
            <v>Capital Exp Payments</v>
          </cell>
          <cell r="F186">
            <v>-11.8125</v>
          </cell>
          <cell r="G186">
            <v>-24.215624999999999</v>
          </cell>
          <cell r="H186">
            <v>-37.238906249999999</v>
          </cell>
          <cell r="I186">
            <v>-50.913351562499997</v>
          </cell>
          <cell r="J186">
            <v>-65.271519140625003</v>
          </cell>
        </row>
        <row r="187">
          <cell r="E187" t="str">
            <v>Earn-out Payments: Price Adj.</v>
          </cell>
          <cell r="F187">
            <v>0</v>
          </cell>
          <cell r="G187">
            <v>0</v>
          </cell>
          <cell r="H187">
            <v>0</v>
          </cell>
          <cell r="I187">
            <v>0</v>
          </cell>
          <cell r="J187">
            <v>0</v>
          </cell>
        </row>
        <row r="188">
          <cell r="E188" t="str">
            <v>Distribution for S Shareholder Taxes</v>
          </cell>
          <cell r="F188">
            <v>-38.887301175812624</v>
          </cell>
          <cell r="G188">
            <v>-59.852605489800055</v>
          </cell>
          <cell r="H188">
            <v>-82.845683917231426</v>
          </cell>
          <cell r="I188">
            <v>-108.02724786851428</v>
          </cell>
          <cell r="J188">
            <v>-135.56718161910564</v>
          </cell>
        </row>
        <row r="189">
          <cell r="E189" t="str">
            <v>Operating Cash Flow-Business</v>
          </cell>
          <cell r="F189">
            <v>-42.056830802322523</v>
          </cell>
          <cell r="G189">
            <v>-10.458874331341391</v>
          </cell>
          <cell r="H189">
            <v>24.188243309805586</v>
          </cell>
          <cell r="I189">
            <v>62.125964236730056</v>
          </cell>
          <cell r="J189">
            <v>103.60950861261662</v>
          </cell>
        </row>
        <row r="190">
          <cell r="E190" t="str">
            <v>Operating Cash Flow-Real Estate</v>
          </cell>
          <cell r="F190">
            <v>0</v>
          </cell>
          <cell r="G190">
            <v>0</v>
          </cell>
          <cell r="H190">
            <v>0</v>
          </cell>
          <cell r="I190">
            <v>0</v>
          </cell>
          <cell r="J190">
            <v>0</v>
          </cell>
        </row>
        <row r="191">
          <cell r="E191" t="str">
            <v>Operating Cash Flow-Total</v>
          </cell>
          <cell r="F191">
            <v>-42.056830802322523</v>
          </cell>
          <cell r="G191">
            <v>-10.458874331341391</v>
          </cell>
          <cell r="H191">
            <v>24.188243309805586</v>
          </cell>
          <cell r="I191">
            <v>62.125964236730056</v>
          </cell>
          <cell r="J191">
            <v>103.60950861261662</v>
          </cell>
        </row>
        <row r="193">
          <cell r="E193" t="str">
            <v>Cash Surplus/Deficit</v>
          </cell>
        </row>
        <row r="194">
          <cell r="E194" t="str">
            <v>Beginning Cash Balance</v>
          </cell>
          <cell r="F194">
            <v>0</v>
          </cell>
          <cell r="G194">
            <v>0</v>
          </cell>
          <cell r="H194">
            <v>0</v>
          </cell>
          <cell r="I194">
            <v>0</v>
          </cell>
          <cell r="J194">
            <v>0</v>
          </cell>
        </row>
        <row r="195">
          <cell r="E195" t="str">
            <v>Operating Cash Flow</v>
          </cell>
          <cell r="F195">
            <v>-42.056830802322523</v>
          </cell>
          <cell r="G195">
            <v>-10.458874331341391</v>
          </cell>
          <cell r="H195">
            <v>24.188243309805586</v>
          </cell>
          <cell r="I195">
            <v>62.125964236730056</v>
          </cell>
          <cell r="J195">
            <v>103.60950861261662</v>
          </cell>
        </row>
        <row r="196">
          <cell r="E196" t="str">
            <v>Operating Cash Requirements</v>
          </cell>
          <cell r="F196">
            <v>0</v>
          </cell>
          <cell r="G196">
            <v>0</v>
          </cell>
          <cell r="H196">
            <v>0</v>
          </cell>
          <cell r="I196">
            <v>0</v>
          </cell>
          <cell r="J196">
            <v>0</v>
          </cell>
        </row>
        <row r="197">
          <cell r="E197" t="str">
            <v>Cash Reserve  @ Year End</v>
          </cell>
          <cell r="F197">
            <v>0</v>
          </cell>
          <cell r="G197">
            <v>0</v>
          </cell>
          <cell r="H197">
            <v>0</v>
          </cell>
          <cell r="I197">
            <v>0</v>
          </cell>
          <cell r="J197">
            <v>0</v>
          </cell>
        </row>
        <row r="198">
          <cell r="E198" t="str">
            <v>Cash Surplus/Deficit b4 New Borrowing</v>
          </cell>
          <cell r="F198">
            <v>-42.056830802322523</v>
          </cell>
          <cell r="G198">
            <v>-10.458874331341391</v>
          </cell>
          <cell r="H198">
            <v>24.188243309805586</v>
          </cell>
          <cell r="I198">
            <v>62.125964236730056</v>
          </cell>
          <cell r="J198">
            <v>103.60950861261662</v>
          </cell>
        </row>
        <row r="200">
          <cell r="E200" t="str">
            <v>Availability:Credit Line</v>
          </cell>
          <cell r="F200">
            <v>42</v>
          </cell>
          <cell r="G200">
            <v>44.100000000000136</v>
          </cell>
          <cell r="H200">
            <v>79.946125668658738</v>
          </cell>
          <cell r="I200">
            <v>152.75461897846435</v>
          </cell>
          <cell r="J200">
            <v>265.93184571519453</v>
          </cell>
        </row>
        <row r="201">
          <cell r="E201" t="str">
            <v>Additional Revolver</v>
          </cell>
          <cell r="F201">
            <v>42</v>
          </cell>
          <cell r="G201">
            <v>10.458874331341391</v>
          </cell>
          <cell r="H201">
            <v>0</v>
          </cell>
          <cell r="I201">
            <v>0</v>
          </cell>
          <cell r="J201">
            <v>0</v>
          </cell>
        </row>
        <row r="203">
          <cell r="E203" t="str">
            <v>BVX Cash Flow</v>
          </cell>
          <cell r="F203">
            <v>-5.68308023225228E-2</v>
          </cell>
          <cell r="G203">
            <v>0</v>
          </cell>
          <cell r="H203">
            <v>24.188243309805586</v>
          </cell>
          <cell r="I203">
            <v>62.125964236730056</v>
          </cell>
          <cell r="J203">
            <v>103.60950861261662</v>
          </cell>
        </row>
        <row r="205">
          <cell r="E205" t="str">
            <v>Add'l Capital Contribution</v>
          </cell>
          <cell r="F205">
            <v>5.68308023225228E-2</v>
          </cell>
          <cell r="G205">
            <v>0</v>
          </cell>
          <cell r="H205">
            <v>0</v>
          </cell>
          <cell r="I205">
            <v>0</v>
          </cell>
          <cell r="J205">
            <v>0</v>
          </cell>
        </row>
        <row r="206">
          <cell r="E206" t="str">
            <v>Dividend Distribution-Regular</v>
          </cell>
          <cell r="F206">
            <v>0</v>
          </cell>
          <cell r="G206">
            <v>0</v>
          </cell>
          <cell r="H206">
            <v>0</v>
          </cell>
          <cell r="I206">
            <v>0</v>
          </cell>
          <cell r="J206">
            <v>0</v>
          </cell>
        </row>
        <row r="207">
          <cell r="E207" t="str">
            <v>Add'l Over Advance Loan Paydown</v>
          </cell>
          <cell r="F207">
            <v>0</v>
          </cell>
          <cell r="G207">
            <v>0</v>
          </cell>
          <cell r="H207">
            <v>0</v>
          </cell>
          <cell r="I207">
            <v>0</v>
          </cell>
          <cell r="J207">
            <v>0</v>
          </cell>
        </row>
        <row r="208">
          <cell r="E208" t="str">
            <v>Add'l Revolver Paydown</v>
          </cell>
          <cell r="F208">
            <v>0</v>
          </cell>
          <cell r="G208">
            <v>0</v>
          </cell>
          <cell r="H208">
            <v>-24.188243309805586</v>
          </cell>
          <cell r="I208">
            <v>-62.125964236730056</v>
          </cell>
          <cell r="J208">
            <v>-103.60950861261662</v>
          </cell>
        </row>
        <row r="209">
          <cell r="E209" t="str">
            <v>Add'l Term Loan Paydown</v>
          </cell>
          <cell r="F209">
            <v>0</v>
          </cell>
          <cell r="G209">
            <v>0</v>
          </cell>
          <cell r="H209">
            <v>0</v>
          </cell>
          <cell r="I209">
            <v>0</v>
          </cell>
          <cell r="J209">
            <v>0</v>
          </cell>
        </row>
        <row r="210">
          <cell r="E210" t="str">
            <v>Add'l New Cap Ex Paydown</v>
          </cell>
          <cell r="F210">
            <v>0</v>
          </cell>
          <cell r="G210">
            <v>0</v>
          </cell>
          <cell r="H210">
            <v>0</v>
          </cell>
          <cell r="I210">
            <v>0</v>
          </cell>
          <cell r="J210">
            <v>0</v>
          </cell>
        </row>
        <row r="211">
          <cell r="E211" t="str">
            <v>Add'l Gap(Seller) Note Paydown</v>
          </cell>
          <cell r="F211">
            <v>0</v>
          </cell>
          <cell r="G211">
            <v>0</v>
          </cell>
          <cell r="H211">
            <v>0</v>
          </cell>
          <cell r="I211">
            <v>0</v>
          </cell>
          <cell r="J211">
            <v>0</v>
          </cell>
        </row>
        <row r="212">
          <cell r="E212" t="str">
            <v>Dividend Distribution-Add'l</v>
          </cell>
          <cell r="F212">
            <v>0</v>
          </cell>
          <cell r="G212">
            <v>0</v>
          </cell>
          <cell r="H212">
            <v>0</v>
          </cell>
          <cell r="I212">
            <v>0</v>
          </cell>
          <cell r="J212">
            <v>0</v>
          </cell>
        </row>
        <row r="213">
          <cell r="E213" t="str">
            <v>BVX Cash Flow Distribution/Capital Infusion</v>
          </cell>
          <cell r="F213">
            <v>5.68308023225228E-2</v>
          </cell>
          <cell r="G213">
            <v>0</v>
          </cell>
          <cell r="H213">
            <v>-24.188243309805586</v>
          </cell>
          <cell r="I213">
            <v>-62.125964236730056</v>
          </cell>
          <cell r="J213">
            <v>-103.60950861261662</v>
          </cell>
        </row>
        <row r="215">
          <cell r="E215" t="str">
            <v>Change in Cash</v>
          </cell>
          <cell r="F215">
            <v>0</v>
          </cell>
          <cell r="G215">
            <v>0</v>
          </cell>
          <cell r="H215">
            <v>0</v>
          </cell>
          <cell r="I215">
            <v>0</v>
          </cell>
          <cell r="J215">
            <v>0</v>
          </cell>
        </row>
        <row r="216">
          <cell r="F216">
            <v>-160</v>
          </cell>
          <cell r="G216">
            <v>-160</v>
          </cell>
          <cell r="H216">
            <v>-160</v>
          </cell>
          <cell r="I216">
            <v>-160</v>
          </cell>
          <cell r="J216">
            <v>-160</v>
          </cell>
        </row>
        <row r="217">
          <cell r="F217">
            <v>0</v>
          </cell>
          <cell r="G217">
            <v>0</v>
          </cell>
          <cell r="H217">
            <v>0</v>
          </cell>
          <cell r="I217">
            <v>0</v>
          </cell>
          <cell r="J217">
            <v>0</v>
          </cell>
        </row>
        <row r="218">
          <cell r="F218">
            <v>0</v>
          </cell>
          <cell r="G218">
            <v>0</v>
          </cell>
          <cell r="H218">
            <v>0</v>
          </cell>
          <cell r="I218">
            <v>0</v>
          </cell>
          <cell r="J218">
            <v>0</v>
          </cell>
        </row>
        <row r="219">
          <cell r="F219">
            <v>-244.17101969039769</v>
          </cell>
          <cell r="G219">
            <v>-244.17101969039769</v>
          </cell>
          <cell r="H219">
            <v>-244.17101969039769</v>
          </cell>
          <cell r="I219">
            <v>-244.17101969039769</v>
          </cell>
          <cell r="J219">
            <v>-244.17101969039774</v>
          </cell>
        </row>
        <row r="223">
          <cell r="A223" t="str">
            <v>Prepared for:</v>
          </cell>
          <cell r="B223" t="str">
            <v>Mr. Client</v>
          </cell>
          <cell r="F223" t="str">
            <v>Buyer's Pre-Tax ROE</v>
          </cell>
          <cell r="K223">
            <v>44412.60115613426</v>
          </cell>
        </row>
        <row r="224">
          <cell r="A224" t="str">
            <v>Company:</v>
          </cell>
          <cell r="B224" t="str">
            <v>Best Business, Inc.</v>
          </cell>
          <cell r="E224" t="str">
            <v>Preparer:</v>
          </cell>
          <cell r="F224" t="str">
            <v>Mr. Professional</v>
          </cell>
          <cell r="H224" t="str">
            <v>Prepared by:</v>
          </cell>
          <cell r="I224" t="str">
            <v>Illinois Corporate Investments Inc.</v>
          </cell>
        </row>
        <row r="226">
          <cell r="E226" t="str">
            <v>Year0</v>
          </cell>
          <cell r="F226" t="str">
            <v>Year1</v>
          </cell>
          <cell r="G226" t="str">
            <v>Year2</v>
          </cell>
          <cell r="H226" t="str">
            <v>Year3</v>
          </cell>
          <cell r="I226" t="str">
            <v>Year4</v>
          </cell>
          <cell r="J226" t="str">
            <v>Year5</v>
          </cell>
        </row>
        <row r="228">
          <cell r="D228" t="str">
            <v>Original Equity Investment</v>
          </cell>
          <cell r="E228">
            <v>-885.23785249390869</v>
          </cell>
        </row>
        <row r="229">
          <cell r="D229" t="str">
            <v>Terminal Value @ Exit Multiple</v>
          </cell>
          <cell r="J229">
            <v>4679.9254595427037</v>
          </cell>
          <cell r="K229" t="str">
            <v>EM=</v>
          </cell>
          <cell r="L229">
            <v>4.889125406231515</v>
          </cell>
        </row>
        <row r="230">
          <cell r="D230" t="str">
            <v>Plus Cash Retained</v>
          </cell>
          <cell r="J230">
            <v>0</v>
          </cell>
        </row>
        <row r="231">
          <cell r="D231" t="str">
            <v>Closing Cost at Exit</v>
          </cell>
          <cell r="J231">
            <v>-233.99627297713519</v>
          </cell>
          <cell r="K231" t="str">
            <v>PM=</v>
          </cell>
          <cell r="L231">
            <v>4.8968535306482313</v>
          </cell>
        </row>
        <row r="232">
          <cell r="D232" t="str">
            <v>S Corp. Taxes on Asset Sale:State</v>
          </cell>
          <cell r="J232">
            <v>-62.502708637243586</v>
          </cell>
        </row>
        <row r="233">
          <cell r="D233" t="str">
            <v>Less Non-Operating Liabilities</v>
          </cell>
          <cell r="J233">
            <v>-839.44085192218915</v>
          </cell>
        </row>
        <row r="234">
          <cell r="D234" t="str">
            <v>Pre-Tax Proceeds from Terminal Value</v>
          </cell>
          <cell r="J234">
            <v>3543.9856260061356</v>
          </cell>
        </row>
        <row r="236">
          <cell r="D236" t="str">
            <v>Tax Distribution from Corp. to S-Shrhldr</v>
          </cell>
          <cell r="F236">
            <v>38.887301175812624</v>
          </cell>
          <cell r="G236">
            <v>59.852605489800055</v>
          </cell>
          <cell r="H236">
            <v>82.845683917231426</v>
          </cell>
          <cell r="I236">
            <v>108.02724786851428</v>
          </cell>
          <cell r="J236">
            <v>135.56718161910564</v>
          </cell>
        </row>
        <row r="237">
          <cell r="D237" t="str">
            <v>Add'l Capital Contribution</v>
          </cell>
          <cell r="F237">
            <v>-5.68308023225228E-2</v>
          </cell>
          <cell r="G237">
            <v>0</v>
          </cell>
          <cell r="H237">
            <v>0</v>
          </cell>
          <cell r="I237">
            <v>0</v>
          </cell>
          <cell r="J237">
            <v>0</v>
          </cell>
        </row>
        <row r="238">
          <cell r="D238" t="str">
            <v>Dividend Distribution</v>
          </cell>
          <cell r="F238">
            <v>0</v>
          </cell>
          <cell r="G238">
            <v>0</v>
          </cell>
          <cell r="H238">
            <v>0</v>
          </cell>
          <cell r="I238">
            <v>0</v>
          </cell>
          <cell r="J238">
            <v>0</v>
          </cell>
        </row>
        <row r="239">
          <cell r="D239" t="str">
            <v>S Dividend Gross-Up to Pre-Tax</v>
          </cell>
          <cell r="F239">
            <v>0</v>
          </cell>
          <cell r="G239">
            <v>0</v>
          </cell>
          <cell r="H239">
            <v>0</v>
          </cell>
          <cell r="I239">
            <v>0</v>
          </cell>
          <cell r="J239">
            <v>0</v>
          </cell>
        </row>
        <row r="240">
          <cell r="D240" t="str">
            <v>S Undistrbtd Erngs Gross-Up to Pre-Tax</v>
          </cell>
          <cell r="F240" t="str">
            <v>n/a</v>
          </cell>
          <cell r="G240" t="str">
            <v>n/a</v>
          </cell>
          <cell r="H240" t="str">
            <v>n/a</v>
          </cell>
          <cell r="I240" t="str">
            <v>n/a</v>
          </cell>
          <cell r="J240">
            <v>425.18002007046397</v>
          </cell>
        </row>
        <row r="241">
          <cell r="D241" t="str">
            <v>Taxes from S-Shareholder to IRS</v>
          </cell>
          <cell r="F241">
            <v>-38.887301175812624</v>
          </cell>
          <cell r="G241">
            <v>-59.852605489800055</v>
          </cell>
          <cell r="H241">
            <v>-82.845683917231426</v>
          </cell>
          <cell r="I241">
            <v>-108.02724786851428</v>
          </cell>
          <cell r="J241">
            <v>-135.56718161910564</v>
          </cell>
        </row>
        <row r="242">
          <cell r="D242" t="str">
            <v>Mezzanine Share of Pre-Tax Cash Flow</v>
          </cell>
          <cell r="J242">
            <v>0</v>
          </cell>
        </row>
        <row r="243">
          <cell r="D243" t="str">
            <v>Buyer's Pre-Tax Cash Flow</v>
          </cell>
          <cell r="E243">
            <v>-885.23785249390869</v>
          </cell>
          <cell r="F243">
            <v>-5.68308023225228E-2</v>
          </cell>
          <cell r="G243">
            <v>0</v>
          </cell>
          <cell r="H243">
            <v>0</v>
          </cell>
          <cell r="I243">
            <v>0</v>
          </cell>
          <cell r="J243">
            <v>3969.1656460765994</v>
          </cell>
        </row>
        <row r="245">
          <cell r="E245" t="str">
            <v>Buyer's Pre-Tax ROE =</v>
          </cell>
          <cell r="F245">
            <v>0.34996876177992742</v>
          </cell>
        </row>
        <row r="247">
          <cell r="F247" t="str">
            <v>Mezzanine Investor Pre-Tax ROI</v>
          </cell>
        </row>
        <row r="249">
          <cell r="E249" t="str">
            <v>Year0</v>
          </cell>
          <cell r="F249" t="str">
            <v>Year1</v>
          </cell>
          <cell r="G249" t="str">
            <v>Year2</v>
          </cell>
          <cell r="H249" t="str">
            <v>Year3</v>
          </cell>
          <cell r="I249" t="str">
            <v>Year4</v>
          </cell>
          <cell r="J249" t="str">
            <v>Year5</v>
          </cell>
        </row>
        <row r="251">
          <cell r="D251" t="str">
            <v>Mezzanine Financing</v>
          </cell>
          <cell r="E251">
            <v>0</v>
          </cell>
        </row>
        <row r="252">
          <cell r="D252" t="str">
            <v>Interest Exp-Mezzanine Financing</v>
          </cell>
          <cell r="E252" t="str">
            <v>n/a</v>
          </cell>
          <cell r="F252">
            <v>0</v>
          </cell>
          <cell r="G252">
            <v>0</v>
          </cell>
          <cell r="H252">
            <v>0</v>
          </cell>
          <cell r="I252">
            <v>0</v>
          </cell>
          <cell r="J252">
            <v>0</v>
          </cell>
        </row>
        <row r="253">
          <cell r="D253" t="str">
            <v>Mezzanine Principal Amortization</v>
          </cell>
          <cell r="E253" t="str">
            <v>n/a</v>
          </cell>
          <cell r="F253">
            <v>0</v>
          </cell>
          <cell r="G253">
            <v>0</v>
          </cell>
          <cell r="H253">
            <v>0</v>
          </cell>
          <cell r="I253">
            <v>0</v>
          </cell>
          <cell r="J253">
            <v>0</v>
          </cell>
        </row>
        <row r="254">
          <cell r="D254" t="str">
            <v>Mezzanine Remaining Principal Payment</v>
          </cell>
          <cell r="E254" t="str">
            <v>n/a</v>
          </cell>
          <cell r="F254" t="str">
            <v>n/a</v>
          </cell>
          <cell r="G254" t="str">
            <v>n/a</v>
          </cell>
          <cell r="H254" t="str">
            <v>n/a</v>
          </cell>
          <cell r="I254" t="str">
            <v>n/a</v>
          </cell>
          <cell r="J254">
            <v>0</v>
          </cell>
        </row>
        <row r="255">
          <cell r="D255" t="str">
            <v>Mezzanine Share of Pre-Tax Cash Flow</v>
          </cell>
          <cell r="E255" t="str">
            <v>n/a</v>
          </cell>
          <cell r="F255" t="str">
            <v>n/a</v>
          </cell>
          <cell r="G255" t="str">
            <v>n/a</v>
          </cell>
          <cell r="H255" t="str">
            <v>n/a</v>
          </cell>
          <cell r="I255" t="str">
            <v>n/a</v>
          </cell>
          <cell r="J255">
            <v>0</v>
          </cell>
        </row>
        <row r="256">
          <cell r="D256" t="str">
            <v>Mezzanine Pre-Tax Cash Flow</v>
          </cell>
          <cell r="E256">
            <v>0</v>
          </cell>
          <cell r="F256">
            <v>0</v>
          </cell>
          <cell r="G256">
            <v>0</v>
          </cell>
          <cell r="H256">
            <v>0</v>
          </cell>
          <cell r="I256">
            <v>0</v>
          </cell>
          <cell r="J256">
            <v>0</v>
          </cell>
        </row>
        <row r="258">
          <cell r="D258" t="str">
            <v xml:space="preserve">Actual Mezzanine Pre-Tax ROI </v>
          </cell>
          <cell r="E258">
            <v>0</v>
          </cell>
          <cell r="I258" t="str">
            <v>Mezzanine Warrants =</v>
          </cell>
          <cell r="J258">
            <v>0</v>
          </cell>
        </row>
        <row r="259">
          <cell r="D259" t="str">
            <v>Expected MezzaninePre-Tax ROI</v>
          </cell>
          <cell r="E259">
            <v>0</v>
          </cell>
        </row>
        <row r="272">
          <cell r="A272" t="str">
            <v>Prepared for:</v>
          </cell>
          <cell r="B272" t="str">
            <v>Mr. Client</v>
          </cell>
          <cell r="F272" t="str">
            <v>Balance Sheet Projections</v>
          </cell>
          <cell r="K272">
            <v>44412.60115613426</v>
          </cell>
        </row>
        <row r="273">
          <cell r="A273" t="str">
            <v>Company:</v>
          </cell>
          <cell r="B273" t="str">
            <v>Best Business, Inc.</v>
          </cell>
          <cell r="E273" t="str">
            <v>Preparer:</v>
          </cell>
          <cell r="F273" t="str">
            <v>Mr. Professional</v>
          </cell>
          <cell r="H273" t="str">
            <v>Prepared by:</v>
          </cell>
          <cell r="I273" t="str">
            <v>Illinois Corporate Investments Inc.</v>
          </cell>
        </row>
        <row r="275">
          <cell r="D275" t="str">
            <v>Purchased</v>
          </cell>
          <cell r="E275" t="str">
            <v>Opening</v>
          </cell>
          <cell r="F275" t="str">
            <v>Year1</v>
          </cell>
          <cell r="G275" t="str">
            <v>Year2</v>
          </cell>
          <cell r="H275" t="str">
            <v>Year3</v>
          </cell>
          <cell r="I275" t="str">
            <v>Year4</v>
          </cell>
          <cell r="J275" t="str">
            <v>Year5</v>
          </cell>
        </row>
        <row r="276">
          <cell r="B276" t="str">
            <v>Assets</v>
          </cell>
        </row>
        <row r="277">
          <cell r="C277" t="str">
            <v>Cash</v>
          </cell>
          <cell r="D277" t="str">
            <v>0</v>
          </cell>
          <cell r="E277">
            <v>0</v>
          </cell>
          <cell r="F277">
            <v>0</v>
          </cell>
          <cell r="G277">
            <v>0</v>
          </cell>
          <cell r="H277">
            <v>0</v>
          </cell>
          <cell r="I277">
            <v>0</v>
          </cell>
          <cell r="J277">
            <v>0</v>
          </cell>
        </row>
        <row r="278">
          <cell r="C278" t="str">
            <v>A/R</v>
          </cell>
          <cell r="D278">
            <v>600</v>
          </cell>
          <cell r="E278">
            <v>600</v>
          </cell>
          <cell r="F278">
            <v>630</v>
          </cell>
          <cell r="G278">
            <v>661.5</v>
          </cell>
          <cell r="H278">
            <v>694.57500000000005</v>
          </cell>
          <cell r="I278">
            <v>729.30375000000004</v>
          </cell>
          <cell r="J278">
            <v>765.76893750000011</v>
          </cell>
        </row>
        <row r="279">
          <cell r="C279" t="str">
            <v>Inventory</v>
          </cell>
          <cell r="D279">
            <v>900</v>
          </cell>
          <cell r="E279">
            <v>900</v>
          </cell>
          <cell r="F279">
            <v>945</v>
          </cell>
          <cell r="G279">
            <v>992.25</v>
          </cell>
          <cell r="H279">
            <v>1041.8625</v>
          </cell>
          <cell r="I279">
            <v>1093.9556250000001</v>
          </cell>
          <cell r="J279">
            <v>1148.6534062500002</v>
          </cell>
        </row>
        <row r="280">
          <cell r="C280" t="str">
            <v>Other Misc. Assets</v>
          </cell>
          <cell r="D280" t="str">
            <v>0</v>
          </cell>
          <cell r="E280" t="str">
            <v>0</v>
          </cell>
          <cell r="F280" t="str">
            <v>0</v>
          </cell>
          <cell r="G280" t="str">
            <v>0</v>
          </cell>
          <cell r="H280" t="str">
            <v>0</v>
          </cell>
          <cell r="I280" t="str">
            <v>0</v>
          </cell>
          <cell r="J280" t="str">
            <v>0</v>
          </cell>
        </row>
        <row r="281">
          <cell r="C281" t="str">
            <v>Fixed Assets-Old</v>
          </cell>
          <cell r="D281" t="str">
            <v>500</v>
          </cell>
          <cell r="E281" t="str">
            <v>1000</v>
          </cell>
          <cell r="F281" t="str">
            <v>1000</v>
          </cell>
          <cell r="G281" t="str">
            <v>1000</v>
          </cell>
          <cell r="H281" t="str">
            <v>1000</v>
          </cell>
          <cell r="I281" t="str">
            <v>1000</v>
          </cell>
          <cell r="J281" t="str">
            <v>1000</v>
          </cell>
        </row>
        <row r="282">
          <cell r="C282" t="str">
            <v>A/D-Old</v>
          </cell>
          <cell r="E282">
            <v>0</v>
          </cell>
          <cell r="F282">
            <v>-200</v>
          </cell>
          <cell r="G282">
            <v>-400</v>
          </cell>
          <cell r="H282">
            <v>-600</v>
          </cell>
          <cell r="I282">
            <v>-800</v>
          </cell>
          <cell r="J282">
            <v>-1000</v>
          </cell>
        </row>
        <row r="283">
          <cell r="C283" t="str">
            <v>New Fixed Assets</v>
          </cell>
          <cell r="E283">
            <v>0</v>
          </cell>
          <cell r="F283">
            <v>78.75</v>
          </cell>
          <cell r="G283">
            <v>161.4375</v>
          </cell>
          <cell r="H283">
            <v>248.25937500000001</v>
          </cell>
          <cell r="I283">
            <v>339.42234374999998</v>
          </cell>
          <cell r="J283">
            <v>435.14346093749998</v>
          </cell>
        </row>
        <row r="284">
          <cell r="C284" t="str">
            <v>A/D-New Fixed Assets</v>
          </cell>
          <cell r="E284">
            <v>0</v>
          </cell>
          <cell r="F284">
            <v>-15.75</v>
          </cell>
          <cell r="G284">
            <v>-48.037500000000001</v>
          </cell>
          <cell r="H284">
            <v>-97.689375000000013</v>
          </cell>
          <cell r="I284">
            <v>-165.57384375000001</v>
          </cell>
          <cell r="J284">
            <v>-252.60253593749999</v>
          </cell>
        </row>
        <row r="285">
          <cell r="C285" t="str">
            <v>Acquisition Expenses</v>
          </cell>
          <cell r="E285">
            <v>73.452802959723471</v>
          </cell>
          <cell r="F285">
            <v>58.762242367778775</v>
          </cell>
          <cell r="G285">
            <v>44.07168177583408</v>
          </cell>
          <cell r="H285">
            <v>29.381121183889384</v>
          </cell>
          <cell r="I285">
            <v>14.69056059194469</v>
          </cell>
          <cell r="J285">
            <v>0</v>
          </cell>
        </row>
        <row r="286">
          <cell r="C286" t="str">
            <v>Non-Compete</v>
          </cell>
          <cell r="E286">
            <v>0</v>
          </cell>
          <cell r="F286">
            <v>0</v>
          </cell>
          <cell r="G286">
            <v>0</v>
          </cell>
          <cell r="H286">
            <v>0</v>
          </cell>
          <cell r="I286">
            <v>0</v>
          </cell>
          <cell r="J286">
            <v>0</v>
          </cell>
        </row>
        <row r="287">
          <cell r="C287" t="str">
            <v>Personal Goodwill</v>
          </cell>
          <cell r="E287">
            <v>0</v>
          </cell>
          <cell r="F287">
            <v>0</v>
          </cell>
          <cell r="G287">
            <v>0</v>
          </cell>
          <cell r="H287">
            <v>0</v>
          </cell>
          <cell r="I287">
            <v>0</v>
          </cell>
          <cell r="J287">
            <v>0</v>
          </cell>
        </row>
        <row r="288">
          <cell r="C288" t="str">
            <v>Remaining Consulting</v>
          </cell>
          <cell r="E288">
            <v>0</v>
          </cell>
          <cell r="F288">
            <v>0</v>
          </cell>
          <cell r="G288">
            <v>0</v>
          </cell>
          <cell r="H288">
            <v>0</v>
          </cell>
          <cell r="I288">
            <v>0</v>
          </cell>
          <cell r="J288">
            <v>0</v>
          </cell>
        </row>
        <row r="289">
          <cell r="C289" t="str">
            <v>Prepaid Consulting</v>
          </cell>
          <cell r="E289">
            <v>0</v>
          </cell>
          <cell r="F289">
            <v>0</v>
          </cell>
          <cell r="G289">
            <v>0</v>
          </cell>
          <cell r="H289">
            <v>0</v>
          </cell>
          <cell r="I289">
            <v>0</v>
          </cell>
          <cell r="J289">
            <v>0</v>
          </cell>
        </row>
        <row r="290">
          <cell r="C290" t="str">
            <v>Investment in RE Entity</v>
          </cell>
          <cell r="E290">
            <v>0</v>
          </cell>
          <cell r="F290">
            <v>0</v>
          </cell>
          <cell r="G290">
            <v>0</v>
          </cell>
          <cell r="H290">
            <v>0</v>
          </cell>
          <cell r="I290">
            <v>0</v>
          </cell>
          <cell r="J290">
            <v>0</v>
          </cell>
        </row>
        <row r="291">
          <cell r="C291" t="str">
            <v>Goodwill</v>
          </cell>
          <cell r="D291">
            <v>0</v>
          </cell>
          <cell r="E291">
            <v>2472.6401479861734</v>
          </cell>
          <cell r="F291">
            <v>2307.7974714537618</v>
          </cell>
          <cell r="G291">
            <v>2142.9547949213502</v>
          </cell>
          <cell r="H291">
            <v>1978.1121183889386</v>
          </cell>
          <cell r="I291">
            <v>1813.269441856527</v>
          </cell>
          <cell r="J291">
            <v>1648.4267653241154</v>
          </cell>
        </row>
        <row r="292">
          <cell r="C292" t="str">
            <v>Total Assets</v>
          </cell>
          <cell r="D292">
            <v>1500</v>
          </cell>
          <cell r="E292">
            <v>4046.092950945897</v>
          </cell>
          <cell r="F292">
            <v>3804.5597138215408</v>
          </cell>
          <cell r="G292">
            <v>3554.1764766971846</v>
          </cell>
          <cell r="H292">
            <v>3294.500739572828</v>
          </cell>
          <cell r="I292">
            <v>3025.0678774484718</v>
          </cell>
          <cell r="J292">
            <v>2745.3900340741156</v>
          </cell>
        </row>
        <row r="293">
          <cell r="B293" t="str">
            <v>Liabilites &amp; Equity</v>
          </cell>
        </row>
        <row r="294">
          <cell r="C294" t="str">
            <v>A/P &amp; Accrued</v>
          </cell>
          <cell r="D294">
            <v>300</v>
          </cell>
          <cell r="E294">
            <v>300</v>
          </cell>
          <cell r="F294">
            <v>315</v>
          </cell>
          <cell r="G294">
            <v>330.75</v>
          </cell>
          <cell r="H294">
            <v>347.28750000000002</v>
          </cell>
          <cell r="I294">
            <v>364.65187500000008</v>
          </cell>
          <cell r="J294">
            <v>382.88446875000005</v>
          </cell>
        </row>
        <row r="295">
          <cell r="C295" t="str">
            <v>Other Misc. Liabilities</v>
          </cell>
          <cell r="D295" t="str">
            <v>0</v>
          </cell>
          <cell r="E295" t="str">
            <v>0</v>
          </cell>
          <cell r="F295" t="str">
            <v>0</v>
          </cell>
          <cell r="G295" t="str">
            <v>0</v>
          </cell>
          <cell r="H295" t="str">
            <v>0</v>
          </cell>
          <cell r="I295" t="str">
            <v>0</v>
          </cell>
          <cell r="J295" t="str">
            <v>0</v>
          </cell>
        </row>
        <row r="297">
          <cell r="C297" t="str">
            <v>Revolver</v>
          </cell>
          <cell r="E297">
            <v>840</v>
          </cell>
          <cell r="F297">
            <v>882</v>
          </cell>
          <cell r="G297">
            <v>892.45887433134135</v>
          </cell>
          <cell r="H297">
            <v>868.27063102153579</v>
          </cell>
          <cell r="I297">
            <v>806.14466678480574</v>
          </cell>
          <cell r="J297">
            <v>702.53515817218909</v>
          </cell>
        </row>
        <row r="298">
          <cell r="C298" t="str">
            <v>Term Loan</v>
          </cell>
          <cell r="E298">
            <v>800</v>
          </cell>
          <cell r="F298">
            <v>640</v>
          </cell>
          <cell r="G298">
            <v>480</v>
          </cell>
          <cell r="H298">
            <v>320</v>
          </cell>
          <cell r="I298">
            <v>160</v>
          </cell>
          <cell r="J298">
            <v>0</v>
          </cell>
        </row>
        <row r="299">
          <cell r="C299" t="str">
            <v>Over Advance Loan</v>
          </cell>
          <cell r="E299">
            <v>0</v>
          </cell>
          <cell r="F299">
            <v>0</v>
          </cell>
          <cell r="G299">
            <v>0</v>
          </cell>
          <cell r="H299">
            <v>0</v>
          </cell>
          <cell r="I299">
            <v>0</v>
          </cell>
          <cell r="J299">
            <v>0</v>
          </cell>
        </row>
        <row r="300">
          <cell r="C300" t="str">
            <v>Mezzanine Financing</v>
          </cell>
          <cell r="E300">
            <v>0</v>
          </cell>
          <cell r="F300">
            <v>0</v>
          </cell>
          <cell r="G300">
            <v>0</v>
          </cell>
          <cell r="H300">
            <v>0</v>
          </cell>
          <cell r="I300">
            <v>0</v>
          </cell>
          <cell r="J300">
            <v>0</v>
          </cell>
        </row>
        <row r="301">
          <cell r="C301" t="str">
            <v>Gap(Seller) Note</v>
          </cell>
          <cell r="E301">
            <v>1220.8550984519884</v>
          </cell>
          <cell r="F301">
            <v>976.68407876159074</v>
          </cell>
          <cell r="G301">
            <v>732.51305907119308</v>
          </cell>
          <cell r="H301">
            <v>488.34203938079543</v>
          </cell>
          <cell r="I301">
            <v>244.17101969039774</v>
          </cell>
          <cell r="J301">
            <v>0</v>
          </cell>
        </row>
        <row r="302">
          <cell r="C302" t="str">
            <v>Gap(Seller) Balloon Note</v>
          </cell>
          <cell r="E302">
            <v>0</v>
          </cell>
          <cell r="F302">
            <v>0</v>
          </cell>
          <cell r="G302">
            <v>0</v>
          </cell>
          <cell r="H302">
            <v>0</v>
          </cell>
          <cell r="I302">
            <v>0</v>
          </cell>
          <cell r="J302">
            <v>0</v>
          </cell>
        </row>
        <row r="303">
          <cell r="C303" t="str">
            <v>Cap Ex Loan</v>
          </cell>
          <cell r="E303">
            <v>0</v>
          </cell>
          <cell r="F303">
            <v>47.25</v>
          </cell>
          <cell r="G303">
            <v>85.05</v>
          </cell>
          <cell r="H303">
            <v>112.92750000000002</v>
          </cell>
          <cell r="I303">
            <v>130.38637500000004</v>
          </cell>
          <cell r="J303">
            <v>136.90569375000004</v>
          </cell>
        </row>
        <row r="304">
          <cell r="C304" t="str">
            <v>Remaining Non-Compete Pymnt</v>
          </cell>
          <cell r="E304">
            <v>0</v>
          </cell>
          <cell r="F304">
            <v>0</v>
          </cell>
          <cell r="G304">
            <v>0</v>
          </cell>
          <cell r="H304">
            <v>0</v>
          </cell>
          <cell r="I304">
            <v>0</v>
          </cell>
          <cell r="J304">
            <v>0</v>
          </cell>
        </row>
        <row r="305">
          <cell r="C305" t="str">
            <v>Rem. Personal Goodwill Pymnt</v>
          </cell>
          <cell r="E305">
            <v>0</v>
          </cell>
          <cell r="F305">
            <v>0</v>
          </cell>
          <cell r="G305">
            <v>0</v>
          </cell>
          <cell r="H305">
            <v>0</v>
          </cell>
          <cell r="I305">
            <v>0</v>
          </cell>
          <cell r="J305">
            <v>0</v>
          </cell>
        </row>
        <row r="306">
          <cell r="C306" t="str">
            <v>Remaining Consulting Pymnt</v>
          </cell>
          <cell r="E306">
            <v>0</v>
          </cell>
          <cell r="F306">
            <v>0</v>
          </cell>
          <cell r="G306">
            <v>0</v>
          </cell>
          <cell r="H306">
            <v>0</v>
          </cell>
          <cell r="I306">
            <v>0</v>
          </cell>
          <cell r="J306">
            <v>0</v>
          </cell>
        </row>
        <row r="307">
          <cell r="C307" t="str">
            <v>Non-Operating Liab.</v>
          </cell>
          <cell r="E307">
            <v>2860.8550984519884</v>
          </cell>
          <cell r="F307">
            <v>2545.9340787615906</v>
          </cell>
          <cell r="G307">
            <v>2190.0219334025346</v>
          </cell>
          <cell r="H307">
            <v>1789.5401704023313</v>
          </cell>
          <cell r="I307">
            <v>1340.7020614752034</v>
          </cell>
          <cell r="J307">
            <v>839.44085192218915</v>
          </cell>
        </row>
        <row r="309">
          <cell r="C309" t="str">
            <v>Retained Earnings</v>
          </cell>
          <cell r="D309">
            <v>0</v>
          </cell>
          <cell r="E309">
            <v>0</v>
          </cell>
          <cell r="F309">
            <v>97.218252939531553</v>
          </cell>
          <cell r="G309">
            <v>246.84976666403168</v>
          </cell>
          <cell r="H309">
            <v>453.96397645711022</v>
          </cell>
          <cell r="I309">
            <v>724.03209612839589</v>
          </cell>
          <cell r="J309">
            <v>1062.9500501761599</v>
          </cell>
        </row>
        <row r="310">
          <cell r="C310" t="str">
            <v>Additional Capital</v>
          </cell>
          <cell r="E310">
            <v>0</v>
          </cell>
          <cell r="F310">
            <v>5.68308023225228E-2</v>
          </cell>
          <cell r="G310">
            <v>5.68308023225228E-2</v>
          </cell>
          <cell r="H310">
            <v>5.68308023225228E-2</v>
          </cell>
          <cell r="I310">
            <v>5.68308023225228E-2</v>
          </cell>
          <cell r="J310">
            <v>5.68308023225228E-2</v>
          </cell>
        </row>
        <row r="311">
          <cell r="C311" t="str">
            <v>Distribution for Taxes</v>
          </cell>
          <cell r="E311">
            <v>0</v>
          </cell>
          <cell r="F311">
            <v>-38.887301175812624</v>
          </cell>
          <cell r="G311">
            <v>-98.739906665612679</v>
          </cell>
          <cell r="H311">
            <v>-181.58559058284411</v>
          </cell>
          <cell r="I311">
            <v>-289.61283845135836</v>
          </cell>
          <cell r="J311">
            <v>-425.18002007046402</v>
          </cell>
        </row>
        <row r="312">
          <cell r="C312" t="str">
            <v>Dividends</v>
          </cell>
          <cell r="E312">
            <v>0</v>
          </cell>
          <cell r="F312">
            <v>0</v>
          </cell>
          <cell r="G312">
            <v>0</v>
          </cell>
          <cell r="H312">
            <v>0</v>
          </cell>
          <cell r="I312">
            <v>0</v>
          </cell>
          <cell r="J312">
            <v>0</v>
          </cell>
        </row>
        <row r="313">
          <cell r="C313" t="str">
            <v>Common Stock</v>
          </cell>
          <cell r="D313">
            <v>1200</v>
          </cell>
          <cell r="E313">
            <v>885.23785249390869</v>
          </cell>
          <cell r="F313">
            <v>885.23785249390869</v>
          </cell>
          <cell r="G313">
            <v>885.23785249390869</v>
          </cell>
          <cell r="H313">
            <v>885.23785249390869</v>
          </cell>
          <cell r="I313">
            <v>885.23785249390869</v>
          </cell>
          <cell r="J313">
            <v>885.23785249390869</v>
          </cell>
        </row>
        <row r="314">
          <cell r="C314" t="str">
            <v>Total Equity</v>
          </cell>
          <cell r="D314">
            <v>1200</v>
          </cell>
          <cell r="E314">
            <v>885.23785249390869</v>
          </cell>
          <cell r="F314">
            <v>943.62563505995013</v>
          </cell>
          <cell r="G314">
            <v>1033.4045432946502</v>
          </cell>
          <cell r="H314">
            <v>1157.6730691704975</v>
          </cell>
          <cell r="I314">
            <v>1319.7139409732688</v>
          </cell>
          <cell r="J314">
            <v>1523.0647134019273</v>
          </cell>
        </row>
        <row r="316">
          <cell r="C316" t="str">
            <v>Total Liab &amp; Equity</v>
          </cell>
          <cell r="D316">
            <v>1500</v>
          </cell>
          <cell r="E316">
            <v>4046.092950945897</v>
          </cell>
          <cell r="F316">
            <v>3804.5597138215408</v>
          </cell>
          <cell r="G316">
            <v>3554.1764766971846</v>
          </cell>
          <cell r="H316">
            <v>3294.5007395728289</v>
          </cell>
          <cell r="I316">
            <v>3025.0678774484722</v>
          </cell>
          <cell r="J316">
            <v>2745.3900340741166</v>
          </cell>
        </row>
        <row r="317">
          <cell r="C317" t="str">
            <v>Check= Assets-Liab</v>
          </cell>
          <cell r="D317" t="str">
            <v>ok</v>
          </cell>
          <cell r="E317" t="str">
            <v>ok</v>
          </cell>
          <cell r="F317" t="str">
            <v>ok</v>
          </cell>
          <cell r="G317" t="str">
            <v>ok</v>
          </cell>
          <cell r="H317" t="str">
            <v>ok</v>
          </cell>
          <cell r="I317" t="str">
            <v>ok</v>
          </cell>
          <cell r="J317" t="str">
            <v>ok</v>
          </cell>
        </row>
        <row r="333">
          <cell r="A333" t="str">
            <v>Prepared for:</v>
          </cell>
          <cell r="B333" t="str">
            <v>Mr. Client</v>
          </cell>
          <cell r="F333" t="str">
            <v>Real Estate Financials</v>
          </cell>
          <cell r="K333">
            <v>44412.60115613426</v>
          </cell>
        </row>
        <row r="334">
          <cell r="A334" t="str">
            <v>Company:</v>
          </cell>
          <cell r="B334" t="str">
            <v>Best Business, Inc.</v>
          </cell>
          <cell r="E334" t="str">
            <v>Preparer:</v>
          </cell>
          <cell r="F334" t="str">
            <v>Mr. Professional</v>
          </cell>
          <cell r="H334" t="str">
            <v>Prepared by:</v>
          </cell>
          <cell r="I334" t="str">
            <v>Illinois Corporate Investments Inc.</v>
          </cell>
        </row>
        <row r="336">
          <cell r="C336" t="str">
            <v>RE Income Statement</v>
          </cell>
          <cell r="F336" t="str">
            <v>Year1</v>
          </cell>
          <cell r="G336" t="str">
            <v>Year2</v>
          </cell>
          <cell r="H336" t="str">
            <v>Year3</v>
          </cell>
          <cell r="I336" t="str">
            <v>Year4</v>
          </cell>
          <cell r="J336" t="str">
            <v>Year5</v>
          </cell>
        </row>
        <row r="338">
          <cell r="C338" t="str">
            <v>Rent from the Business</v>
          </cell>
          <cell r="F338">
            <v>0</v>
          </cell>
          <cell r="G338">
            <v>0</v>
          </cell>
          <cell r="H338">
            <v>0</v>
          </cell>
          <cell r="I338">
            <v>0</v>
          </cell>
          <cell r="J338">
            <v>0</v>
          </cell>
        </row>
        <row r="339">
          <cell r="C339" t="str">
            <v>Depreciation</v>
          </cell>
          <cell r="F339">
            <v>0</v>
          </cell>
          <cell r="G339">
            <v>0</v>
          </cell>
          <cell r="H339">
            <v>0</v>
          </cell>
          <cell r="I339">
            <v>0</v>
          </cell>
          <cell r="J339">
            <v>0</v>
          </cell>
        </row>
        <row r="340">
          <cell r="C340" t="str">
            <v>Interest</v>
          </cell>
          <cell r="F340">
            <v>0</v>
          </cell>
          <cell r="G340">
            <v>0</v>
          </cell>
          <cell r="H340">
            <v>0</v>
          </cell>
          <cell r="I340">
            <v>0</v>
          </cell>
          <cell r="J340">
            <v>0</v>
          </cell>
        </row>
        <row r="341">
          <cell r="C341" t="str">
            <v>Expenses</v>
          </cell>
          <cell r="F341">
            <v>0</v>
          </cell>
          <cell r="G341">
            <v>0</v>
          </cell>
          <cell r="H341">
            <v>0</v>
          </cell>
          <cell r="I341">
            <v>0</v>
          </cell>
          <cell r="J341">
            <v>0</v>
          </cell>
        </row>
        <row r="342">
          <cell r="C342" t="str">
            <v>Taxable Income</v>
          </cell>
          <cell r="F342">
            <v>0</v>
          </cell>
          <cell r="G342">
            <v>0</v>
          </cell>
          <cell r="H342">
            <v>0</v>
          </cell>
          <cell r="I342">
            <v>0</v>
          </cell>
          <cell r="J342">
            <v>0</v>
          </cell>
        </row>
        <row r="343">
          <cell r="C343" t="str">
            <v>Corp. Taxes: State</v>
          </cell>
          <cell r="F343">
            <v>0</v>
          </cell>
          <cell r="G343">
            <v>0</v>
          </cell>
          <cell r="H343">
            <v>0</v>
          </cell>
          <cell r="I343">
            <v>0</v>
          </cell>
          <cell r="J343">
            <v>0</v>
          </cell>
        </row>
        <row r="344">
          <cell r="C344" t="str">
            <v>Corp. Taxes: Federal</v>
          </cell>
          <cell r="F344">
            <v>0</v>
          </cell>
          <cell r="G344">
            <v>0</v>
          </cell>
          <cell r="H344">
            <v>0</v>
          </cell>
          <cell r="I344">
            <v>0</v>
          </cell>
          <cell r="J344">
            <v>0</v>
          </cell>
        </row>
        <row r="345">
          <cell r="C345" t="str">
            <v>Net Income</v>
          </cell>
          <cell r="F345">
            <v>0</v>
          </cell>
          <cell r="G345">
            <v>0</v>
          </cell>
          <cell r="H345">
            <v>0</v>
          </cell>
          <cell r="I345">
            <v>0</v>
          </cell>
          <cell r="J345">
            <v>0</v>
          </cell>
        </row>
        <row r="347">
          <cell r="C347" t="str">
            <v>RE Cash Flow</v>
          </cell>
          <cell r="F347" t="str">
            <v>Year1</v>
          </cell>
          <cell r="G347" t="str">
            <v>Year2</v>
          </cell>
          <cell r="H347" t="str">
            <v>Year3</v>
          </cell>
          <cell r="I347" t="str">
            <v>Year4</v>
          </cell>
          <cell r="J347" t="str">
            <v>Year5</v>
          </cell>
        </row>
        <row r="349">
          <cell r="C349" t="str">
            <v>Net Income</v>
          </cell>
          <cell r="F349">
            <v>0</v>
          </cell>
          <cell r="G349">
            <v>0</v>
          </cell>
          <cell r="H349">
            <v>0</v>
          </cell>
          <cell r="I349">
            <v>0</v>
          </cell>
          <cell r="J349">
            <v>0</v>
          </cell>
        </row>
        <row r="350">
          <cell r="C350" t="str">
            <v>Depreciation</v>
          </cell>
          <cell r="F350">
            <v>0</v>
          </cell>
          <cell r="G350">
            <v>0</v>
          </cell>
          <cell r="H350">
            <v>0</v>
          </cell>
          <cell r="I350">
            <v>0</v>
          </cell>
          <cell r="J350">
            <v>0</v>
          </cell>
        </row>
        <row r="351">
          <cell r="C351" t="str">
            <v>RE Loan Payment</v>
          </cell>
          <cell r="F351">
            <v>0</v>
          </cell>
          <cell r="G351">
            <v>0</v>
          </cell>
          <cell r="H351">
            <v>0</v>
          </cell>
          <cell r="I351">
            <v>0</v>
          </cell>
          <cell r="J351">
            <v>0</v>
          </cell>
        </row>
        <row r="352">
          <cell r="C352" t="str">
            <v>Dist. for S Shareholder Taxes</v>
          </cell>
          <cell r="F352">
            <v>0</v>
          </cell>
          <cell r="G352">
            <v>0</v>
          </cell>
          <cell r="H352">
            <v>0</v>
          </cell>
          <cell r="I352">
            <v>0</v>
          </cell>
          <cell r="J352">
            <v>0</v>
          </cell>
        </row>
        <row r="353">
          <cell r="C353" t="str">
            <v>Operating Cash Flow-Real Estate</v>
          </cell>
          <cell r="F353">
            <v>0</v>
          </cell>
          <cell r="G353">
            <v>0</v>
          </cell>
          <cell r="H353">
            <v>0</v>
          </cell>
          <cell r="I353">
            <v>0</v>
          </cell>
          <cell r="J353">
            <v>0</v>
          </cell>
        </row>
        <row r="354">
          <cell r="C354" t="str">
            <v>Cash (To)/From Business Entity</v>
          </cell>
          <cell r="F354">
            <v>0</v>
          </cell>
          <cell r="G354">
            <v>0</v>
          </cell>
          <cell r="H354">
            <v>0</v>
          </cell>
          <cell r="I354">
            <v>0</v>
          </cell>
          <cell r="J354">
            <v>0</v>
          </cell>
        </row>
        <row r="355">
          <cell r="C355" t="str">
            <v>Net Cash Flow of RE</v>
          </cell>
          <cell r="F355">
            <v>0</v>
          </cell>
          <cell r="G355">
            <v>0</v>
          </cell>
          <cell r="H355">
            <v>0</v>
          </cell>
          <cell r="I355">
            <v>0</v>
          </cell>
          <cell r="J355">
            <v>0</v>
          </cell>
        </row>
        <row r="357">
          <cell r="C357" t="str">
            <v>RE Balance Sheet</v>
          </cell>
          <cell r="E357" t="str">
            <v>Opening</v>
          </cell>
          <cell r="F357" t="str">
            <v>Year1</v>
          </cell>
          <cell r="G357" t="str">
            <v>Year2</v>
          </cell>
          <cell r="H357" t="str">
            <v>Year3</v>
          </cell>
          <cell r="I357" t="str">
            <v>Year4</v>
          </cell>
          <cell r="J357" t="str">
            <v>Year5</v>
          </cell>
        </row>
        <row r="359">
          <cell r="B359" t="str">
            <v>Assets</v>
          </cell>
          <cell r="C359" t="str">
            <v>Cash</v>
          </cell>
          <cell r="E359">
            <v>0</v>
          </cell>
          <cell r="F359">
            <v>0</v>
          </cell>
          <cell r="G359">
            <v>0</v>
          </cell>
          <cell r="H359">
            <v>0</v>
          </cell>
          <cell r="I359">
            <v>0</v>
          </cell>
          <cell r="J359">
            <v>0</v>
          </cell>
        </row>
        <row r="360">
          <cell r="C360" t="str">
            <v>Land</v>
          </cell>
          <cell r="E360">
            <v>0</v>
          </cell>
          <cell r="F360">
            <v>0</v>
          </cell>
          <cell r="G360">
            <v>0</v>
          </cell>
          <cell r="H360">
            <v>0</v>
          </cell>
          <cell r="I360">
            <v>0</v>
          </cell>
          <cell r="J360">
            <v>0</v>
          </cell>
        </row>
        <row r="361">
          <cell r="C361" t="str">
            <v>Building</v>
          </cell>
          <cell r="E361">
            <v>0</v>
          </cell>
          <cell r="F361">
            <v>0</v>
          </cell>
          <cell r="G361">
            <v>0</v>
          </cell>
          <cell r="H361">
            <v>0</v>
          </cell>
          <cell r="I361">
            <v>0</v>
          </cell>
          <cell r="J361">
            <v>0</v>
          </cell>
        </row>
        <row r="362">
          <cell r="C362" t="str">
            <v>A/D-Building</v>
          </cell>
          <cell r="E362">
            <v>0</v>
          </cell>
          <cell r="F362">
            <v>0</v>
          </cell>
          <cell r="G362">
            <v>0</v>
          </cell>
          <cell r="H362">
            <v>0</v>
          </cell>
          <cell r="I362">
            <v>0</v>
          </cell>
          <cell r="J362">
            <v>0</v>
          </cell>
        </row>
        <row r="363">
          <cell r="C363" t="str">
            <v>RE Goodwill</v>
          </cell>
          <cell r="E363">
            <v>0</v>
          </cell>
          <cell r="F363">
            <v>0</v>
          </cell>
          <cell r="G363">
            <v>0</v>
          </cell>
          <cell r="H363">
            <v>0</v>
          </cell>
          <cell r="I363">
            <v>0</v>
          </cell>
          <cell r="J363">
            <v>0</v>
          </cell>
        </row>
        <row r="364">
          <cell r="C364" t="str">
            <v>Total Assets</v>
          </cell>
          <cell r="E364">
            <v>0</v>
          </cell>
          <cell r="F364">
            <v>0</v>
          </cell>
          <cell r="G364">
            <v>0</v>
          </cell>
          <cell r="H364">
            <v>0</v>
          </cell>
          <cell r="I364">
            <v>0</v>
          </cell>
          <cell r="J364">
            <v>0</v>
          </cell>
        </row>
        <row r="366">
          <cell r="B366" t="str">
            <v>Liabilities &amp; Equity</v>
          </cell>
          <cell r="C366" t="str">
            <v>RE Loan</v>
          </cell>
          <cell r="E366">
            <v>0</v>
          </cell>
          <cell r="F366">
            <v>0</v>
          </cell>
          <cell r="G366">
            <v>0</v>
          </cell>
          <cell r="H366">
            <v>0</v>
          </cell>
          <cell r="I366">
            <v>0</v>
          </cell>
          <cell r="J366">
            <v>0</v>
          </cell>
        </row>
        <row r="368">
          <cell r="C368" t="str">
            <v>Retained Earnings</v>
          </cell>
          <cell r="E368">
            <v>0</v>
          </cell>
          <cell r="F368">
            <v>0</v>
          </cell>
          <cell r="G368">
            <v>0</v>
          </cell>
          <cell r="H368">
            <v>0</v>
          </cell>
          <cell r="I368">
            <v>0</v>
          </cell>
          <cell r="J368">
            <v>0</v>
          </cell>
        </row>
        <row r="369">
          <cell r="C369" t="str">
            <v>Cash To (-), from (+) Bus. Entity</v>
          </cell>
          <cell r="E369">
            <v>0</v>
          </cell>
          <cell r="F369">
            <v>0</v>
          </cell>
          <cell r="G369">
            <v>0</v>
          </cell>
          <cell r="H369">
            <v>0</v>
          </cell>
          <cell r="I369">
            <v>0</v>
          </cell>
          <cell r="J369">
            <v>0</v>
          </cell>
        </row>
        <row r="370">
          <cell r="C370" t="str">
            <v>Distribution for Taxes</v>
          </cell>
          <cell r="E370">
            <v>0</v>
          </cell>
          <cell r="F370">
            <v>0</v>
          </cell>
          <cell r="G370">
            <v>0</v>
          </cell>
          <cell r="H370">
            <v>0</v>
          </cell>
          <cell r="I370">
            <v>0</v>
          </cell>
          <cell r="J370">
            <v>0</v>
          </cell>
        </row>
        <row r="371">
          <cell r="C371" t="str">
            <v>Common</v>
          </cell>
          <cell r="E371">
            <v>0</v>
          </cell>
          <cell r="F371">
            <v>0</v>
          </cell>
          <cell r="G371">
            <v>0</v>
          </cell>
          <cell r="H371">
            <v>0</v>
          </cell>
          <cell r="I371">
            <v>0</v>
          </cell>
          <cell r="J371">
            <v>0</v>
          </cell>
        </row>
        <row r="372">
          <cell r="C372" t="str">
            <v>Equity</v>
          </cell>
          <cell r="E372">
            <v>0</v>
          </cell>
          <cell r="F372">
            <v>0</v>
          </cell>
          <cell r="G372">
            <v>0</v>
          </cell>
          <cell r="H372">
            <v>0</v>
          </cell>
          <cell r="I372">
            <v>0</v>
          </cell>
          <cell r="J372">
            <v>0</v>
          </cell>
        </row>
        <row r="374">
          <cell r="C374" t="str">
            <v>Total Liab &amp; Equity</v>
          </cell>
          <cell r="E374">
            <v>0</v>
          </cell>
          <cell r="F374">
            <v>0</v>
          </cell>
          <cell r="G374">
            <v>0</v>
          </cell>
          <cell r="H374">
            <v>0</v>
          </cell>
          <cell r="I374">
            <v>0</v>
          </cell>
          <cell r="J374">
            <v>0</v>
          </cell>
        </row>
        <row r="375">
          <cell r="C375" t="str">
            <v>RE Pre-Tax ROI</v>
          </cell>
          <cell r="E375" t="str">
            <v>Year0</v>
          </cell>
          <cell r="F375" t="str">
            <v>Year1</v>
          </cell>
          <cell r="G375" t="str">
            <v>Year2</v>
          </cell>
          <cell r="H375" t="str">
            <v>Year3</v>
          </cell>
          <cell r="I375" t="str">
            <v>Year4</v>
          </cell>
          <cell r="J375" t="str">
            <v>Year5</v>
          </cell>
        </row>
        <row r="376">
          <cell r="C376" t="str">
            <v>Orig. Equity &amp; Selling Price</v>
          </cell>
          <cell r="E376">
            <v>0</v>
          </cell>
          <cell r="F376">
            <v>0</v>
          </cell>
          <cell r="G376">
            <v>0</v>
          </cell>
          <cell r="H376">
            <v>0</v>
          </cell>
          <cell r="I376">
            <v>0</v>
          </cell>
          <cell r="J376">
            <v>0</v>
          </cell>
        </row>
        <row r="377">
          <cell r="C377" t="str">
            <v>Net Cash Flow of RE</v>
          </cell>
          <cell r="F377">
            <v>0</v>
          </cell>
          <cell r="G377">
            <v>0</v>
          </cell>
          <cell r="H377">
            <v>0</v>
          </cell>
          <cell r="I377">
            <v>0</v>
          </cell>
          <cell r="J377">
            <v>0</v>
          </cell>
        </row>
        <row r="378">
          <cell r="C378" t="str">
            <v>RE Closing Cost at Exit</v>
          </cell>
          <cell r="E378">
            <v>0</v>
          </cell>
          <cell r="F378">
            <v>0</v>
          </cell>
          <cell r="G378">
            <v>0</v>
          </cell>
          <cell r="H378">
            <v>0</v>
          </cell>
          <cell r="I378">
            <v>0</v>
          </cell>
          <cell r="J378">
            <v>0</v>
          </cell>
          <cell r="L378" t="str">
            <v>Closing Cost 5 %</v>
          </cell>
        </row>
        <row r="379">
          <cell r="C379" t="str">
            <v>Less Non-Operating Liabilities</v>
          </cell>
          <cell r="E379">
            <v>0</v>
          </cell>
          <cell r="F379">
            <v>0</v>
          </cell>
          <cell r="G379">
            <v>0</v>
          </cell>
          <cell r="H379">
            <v>0</v>
          </cell>
          <cell r="I379">
            <v>0</v>
          </cell>
          <cell r="J379">
            <v>0</v>
          </cell>
        </row>
        <row r="380">
          <cell r="C380" t="str">
            <v>Pre-Tax Cash Flow</v>
          </cell>
          <cell r="E380">
            <v>0</v>
          </cell>
          <cell r="F380">
            <v>0</v>
          </cell>
          <cell r="G380">
            <v>0</v>
          </cell>
          <cell r="H380">
            <v>0</v>
          </cell>
          <cell r="I380">
            <v>0</v>
          </cell>
          <cell r="J380">
            <v>0</v>
          </cell>
          <cell r="K380" t="str">
            <v>RE ROI =</v>
          </cell>
          <cell r="L380">
            <v>0</v>
          </cell>
        </row>
        <row r="436">
          <cell r="E436" t="str">
            <v>Year0</v>
          </cell>
          <cell r="F436" t="str">
            <v>Year1</v>
          </cell>
          <cell r="G436" t="str">
            <v>Year2</v>
          </cell>
          <cell r="H436" t="str">
            <v>Year3</v>
          </cell>
          <cell r="I436" t="str">
            <v>Year4</v>
          </cell>
          <cell r="J436" t="str">
            <v>Year5</v>
          </cell>
        </row>
        <row r="443">
          <cell r="N443" t="b">
            <v>0</v>
          </cell>
        </row>
        <row r="445">
          <cell r="A445" t="str">
            <v>No</v>
          </cell>
          <cell r="D445" t="str">
            <v>Sales/yr</v>
          </cell>
          <cell r="E445" t="str">
            <v>5000</v>
          </cell>
          <cell r="F445">
            <v>6000</v>
          </cell>
          <cell r="G445">
            <v>7000</v>
          </cell>
          <cell r="H445">
            <v>8000</v>
          </cell>
          <cell r="I445">
            <v>9000</v>
          </cell>
          <cell r="J445">
            <v>9400</v>
          </cell>
        </row>
        <row r="446">
          <cell r="A446" t="str">
            <v>2</v>
          </cell>
          <cell r="D446" t="str">
            <v>Sales Growth %/yr</v>
          </cell>
          <cell r="F446">
            <v>0.2</v>
          </cell>
          <cell r="G446">
            <v>0.15</v>
          </cell>
          <cell r="H446">
            <v>0.15</v>
          </cell>
          <cell r="I446">
            <v>0.1</v>
          </cell>
          <cell r="J446">
            <v>0.05</v>
          </cell>
          <cell r="N446" t="b">
            <v>0</v>
          </cell>
        </row>
        <row r="448">
          <cell r="N448" t="b">
            <v>0</v>
          </cell>
        </row>
        <row r="450">
          <cell r="A450" t="str">
            <v>No</v>
          </cell>
          <cell r="D450" t="str">
            <v>EBITDA /yr</v>
          </cell>
          <cell r="E450">
            <v>750</v>
          </cell>
          <cell r="F450">
            <v>787</v>
          </cell>
          <cell r="G450">
            <v>826</v>
          </cell>
          <cell r="H450">
            <v>868</v>
          </cell>
          <cell r="I450">
            <v>911</v>
          </cell>
          <cell r="J450">
            <v>957</v>
          </cell>
        </row>
        <row r="451">
          <cell r="A451" t="str">
            <v>2</v>
          </cell>
          <cell r="D451" t="str">
            <v>EBITDA Margin %</v>
          </cell>
          <cell r="E451">
            <v>0.15</v>
          </cell>
          <cell r="F451">
            <v>0.2</v>
          </cell>
          <cell r="G451">
            <v>0.2</v>
          </cell>
          <cell r="H451">
            <v>0.15</v>
          </cell>
          <cell r="I451">
            <v>0.15</v>
          </cell>
          <cell r="J451">
            <v>0.13</v>
          </cell>
          <cell r="N451" t="b">
            <v>0</v>
          </cell>
        </row>
        <row r="453">
          <cell r="N453" t="b">
            <v>0</v>
          </cell>
        </row>
        <row r="455">
          <cell r="A455" t="str">
            <v>No</v>
          </cell>
          <cell r="D455" t="str">
            <v>Cap Ex/yr</v>
          </cell>
          <cell r="F455">
            <v>78.7</v>
          </cell>
          <cell r="G455">
            <v>82.6</v>
          </cell>
          <cell r="H455">
            <v>86.8</v>
          </cell>
          <cell r="I455">
            <v>91.1</v>
          </cell>
          <cell r="J455">
            <v>95.7</v>
          </cell>
        </row>
        <row r="456">
          <cell r="A456" t="str">
            <v>2</v>
          </cell>
          <cell r="D456" t="str">
            <v>Cap Ex(% of EBITDA )</v>
          </cell>
          <cell r="F456">
            <v>0.1</v>
          </cell>
          <cell r="G456">
            <v>0.1</v>
          </cell>
          <cell r="H456">
            <v>0.1</v>
          </cell>
          <cell r="I456">
            <v>0.1</v>
          </cell>
          <cell r="J456">
            <v>0.1</v>
          </cell>
        </row>
        <row r="458">
          <cell r="A458" t="str">
            <v>No</v>
          </cell>
        </row>
        <row r="461">
          <cell r="D461" t="str">
            <v>A/R</v>
          </cell>
          <cell r="E461">
            <v>600</v>
          </cell>
          <cell r="F461">
            <v>630</v>
          </cell>
          <cell r="G461">
            <v>661</v>
          </cell>
          <cell r="H461">
            <v>694</v>
          </cell>
          <cell r="I461">
            <v>729</v>
          </cell>
          <cell r="J461">
            <v>765</v>
          </cell>
        </row>
        <row r="462">
          <cell r="A462" t="str">
            <v>2</v>
          </cell>
          <cell r="D462" t="str">
            <v>A/R # of Days</v>
          </cell>
          <cell r="E462">
            <v>43.8</v>
          </cell>
          <cell r="F462">
            <v>43.8</v>
          </cell>
          <cell r="G462">
            <v>43.8</v>
          </cell>
          <cell r="H462">
            <v>43.8</v>
          </cell>
          <cell r="I462">
            <v>43.8</v>
          </cell>
          <cell r="J462">
            <v>43.8</v>
          </cell>
        </row>
        <row r="465">
          <cell r="A465" t="str">
            <v>No</v>
          </cell>
        </row>
        <row r="468">
          <cell r="D468" t="str">
            <v>Inventory</v>
          </cell>
          <cell r="E468">
            <v>900</v>
          </cell>
          <cell r="F468">
            <v>945</v>
          </cell>
          <cell r="G468">
            <v>992</v>
          </cell>
          <cell r="H468">
            <v>1042</v>
          </cell>
          <cell r="I468">
            <v>1094</v>
          </cell>
          <cell r="J468">
            <v>1149</v>
          </cell>
        </row>
        <row r="469">
          <cell r="A469" t="str">
            <v>2</v>
          </cell>
          <cell r="D469" t="str">
            <v>Inv. Turns (Sales÷Inv)</v>
          </cell>
          <cell r="E469">
            <v>5.5555555555555554</v>
          </cell>
          <cell r="F469">
            <v>5.6</v>
          </cell>
          <cell r="G469">
            <v>5.6</v>
          </cell>
          <cell r="H469">
            <v>5.6</v>
          </cell>
          <cell r="I469">
            <v>5.6</v>
          </cell>
          <cell r="J469">
            <v>5.6</v>
          </cell>
        </row>
        <row r="473">
          <cell r="A473" t="str">
            <v>No</v>
          </cell>
          <cell r="D473" t="str">
            <v>Available Add'l Equity</v>
          </cell>
          <cell r="F473" t="str">
            <v>Unlmtd</v>
          </cell>
          <cell r="G473">
            <v>0</v>
          </cell>
          <cell r="H473">
            <v>0</v>
          </cell>
          <cell r="I473">
            <v>0</v>
          </cell>
          <cell r="J473">
            <v>0</v>
          </cell>
        </row>
        <row r="476">
          <cell r="A476" t="str">
            <v>No</v>
          </cell>
        </row>
        <row r="479">
          <cell r="D479" t="str">
            <v>A/P</v>
          </cell>
          <cell r="E479">
            <v>300</v>
          </cell>
          <cell r="F479">
            <v>315</v>
          </cell>
          <cell r="G479">
            <v>331</v>
          </cell>
          <cell r="H479">
            <v>347</v>
          </cell>
          <cell r="I479">
            <v>365</v>
          </cell>
          <cell r="J479">
            <v>383</v>
          </cell>
        </row>
        <row r="480">
          <cell r="A480">
            <v>2</v>
          </cell>
          <cell r="D480" t="str">
            <v>A/P (% of Sales)</v>
          </cell>
          <cell r="E480">
            <v>0.06</v>
          </cell>
          <cell r="F480">
            <v>0.06</v>
          </cell>
          <cell r="G480">
            <v>0.06</v>
          </cell>
          <cell r="H480">
            <v>0.06</v>
          </cell>
          <cell r="I480">
            <v>0.06</v>
          </cell>
          <cell r="J480">
            <v>0.06</v>
          </cell>
        </row>
        <row r="493">
          <cell r="A493" t="str">
            <v>Prepared for:</v>
          </cell>
          <cell r="B493" t="str">
            <v>Mr. Client</v>
          </cell>
          <cell r="F493" t="str">
            <v>Depreciation Schedule Detail</v>
          </cell>
          <cell r="K493">
            <v>44412.60115613426</v>
          </cell>
        </row>
        <row r="494">
          <cell r="A494" t="str">
            <v>Company:</v>
          </cell>
          <cell r="B494" t="str">
            <v>Best Business, Inc.</v>
          </cell>
          <cell r="E494" t="str">
            <v>Preparer:</v>
          </cell>
          <cell r="F494" t="str">
            <v>Mr. Professional</v>
          </cell>
          <cell r="H494" t="str">
            <v>Prepared by:</v>
          </cell>
          <cell r="I494" t="str">
            <v>Illinois Corporate Investments Inc.</v>
          </cell>
        </row>
        <row r="496">
          <cell r="F496" t="str">
            <v>Year1</v>
          </cell>
          <cell r="G496" t="str">
            <v>Year2</v>
          </cell>
          <cell r="H496" t="str">
            <v>Year3</v>
          </cell>
          <cell r="I496" t="str">
            <v>Year4</v>
          </cell>
          <cell r="J496" t="str">
            <v>Year5</v>
          </cell>
        </row>
        <row r="498">
          <cell r="C498" t="str">
            <v>New Fxd Assets Cumulative</v>
          </cell>
          <cell r="F498">
            <v>78.75</v>
          </cell>
          <cell r="G498">
            <v>161.4375</v>
          </cell>
          <cell r="H498">
            <v>248.25937500000001</v>
          </cell>
          <cell r="I498">
            <v>339.42234374999998</v>
          </cell>
          <cell r="J498">
            <v>435.14346093749998</v>
          </cell>
        </row>
        <row r="499">
          <cell r="C499" t="str">
            <v>Depreciation Factor</v>
          </cell>
          <cell r="F499">
            <v>0.2</v>
          </cell>
          <cell r="G499">
            <v>0.2</v>
          </cell>
          <cell r="H499">
            <v>0.2</v>
          </cell>
          <cell r="I499">
            <v>0.2</v>
          </cell>
          <cell r="J499">
            <v>0.19999999999999996</v>
          </cell>
          <cell r="K499">
            <v>1</v>
          </cell>
        </row>
        <row r="500">
          <cell r="C500" t="str">
            <v>New Fxd Assets Each Yr</v>
          </cell>
          <cell r="F500">
            <v>78.75</v>
          </cell>
          <cell r="G500">
            <v>82.6875</v>
          </cell>
          <cell r="H500">
            <v>86.821875000000006</v>
          </cell>
          <cell r="I500">
            <v>91.162968749999976</v>
          </cell>
          <cell r="J500">
            <v>95.721117187499999</v>
          </cell>
        </row>
        <row r="501">
          <cell r="C501" t="str">
            <v>Depreciation-1</v>
          </cell>
          <cell r="F501">
            <v>15.75</v>
          </cell>
          <cell r="G501">
            <v>15.75</v>
          </cell>
          <cell r="H501">
            <v>15.75</v>
          </cell>
          <cell r="I501">
            <v>15.75</v>
          </cell>
          <cell r="J501">
            <v>15.75</v>
          </cell>
        </row>
        <row r="502">
          <cell r="C502" t="str">
            <v>A/D-new Fixed Assets-1</v>
          </cell>
          <cell r="F502">
            <v>15.75</v>
          </cell>
          <cell r="G502">
            <v>31.5</v>
          </cell>
          <cell r="H502">
            <v>47.25</v>
          </cell>
          <cell r="I502">
            <v>63</v>
          </cell>
          <cell r="J502">
            <v>78.75</v>
          </cell>
        </row>
        <row r="503">
          <cell r="C503" t="str">
            <v>Depreciation-2</v>
          </cell>
          <cell r="G503">
            <v>16.537500000000001</v>
          </cell>
          <cell r="H503">
            <v>16.537500000000001</v>
          </cell>
          <cell r="I503">
            <v>16.537500000000001</v>
          </cell>
          <cell r="J503">
            <v>16.537500000000001</v>
          </cell>
        </row>
        <row r="504">
          <cell r="C504" t="str">
            <v>A/D-new Fixed Assets-2</v>
          </cell>
          <cell r="G504">
            <v>16.537500000000001</v>
          </cell>
          <cell r="H504">
            <v>33.075000000000003</v>
          </cell>
          <cell r="I504">
            <v>49.612500000000004</v>
          </cell>
          <cell r="J504">
            <v>66.150000000000006</v>
          </cell>
        </row>
        <row r="505">
          <cell r="C505" t="str">
            <v>Depreciation-3</v>
          </cell>
          <cell r="H505">
            <v>17.364375000000003</v>
          </cell>
          <cell r="I505">
            <v>17.364375000000003</v>
          </cell>
          <cell r="J505">
            <v>17.364375000000003</v>
          </cell>
        </row>
        <row r="506">
          <cell r="C506" t="str">
            <v>A/D-new Fixed Assets-3</v>
          </cell>
          <cell r="H506">
            <v>17.364375000000003</v>
          </cell>
          <cell r="I506">
            <v>34.728750000000005</v>
          </cell>
          <cell r="J506">
            <v>52.093125000000008</v>
          </cell>
        </row>
        <row r="507">
          <cell r="C507" t="str">
            <v>Depreciation-4</v>
          </cell>
          <cell r="I507">
            <v>18.232593749999996</v>
          </cell>
          <cell r="J507">
            <v>18.232593749999996</v>
          </cell>
        </row>
        <row r="508">
          <cell r="C508" t="str">
            <v>A/D-new Fixed Assets-4</v>
          </cell>
          <cell r="I508">
            <v>18.232593749999996</v>
          </cell>
          <cell r="J508">
            <v>36.465187499999992</v>
          </cell>
        </row>
        <row r="509">
          <cell r="C509" t="str">
            <v>Depreciation-5</v>
          </cell>
          <cell r="J509">
            <v>19.144223437499999</v>
          </cell>
        </row>
        <row r="510">
          <cell r="C510" t="str">
            <v>A/D-new Fixed Assets-5</v>
          </cell>
          <cell r="J510">
            <v>19.144223437499999</v>
          </cell>
        </row>
        <row r="512">
          <cell r="C512" t="str">
            <v>A/D-new Fixed Assets-ALL</v>
          </cell>
          <cell r="F512">
            <v>15.75</v>
          </cell>
          <cell r="G512">
            <v>48.037500000000001</v>
          </cell>
          <cell r="H512">
            <v>97.689375000000013</v>
          </cell>
          <cell r="I512">
            <v>165.57384375000001</v>
          </cell>
          <cell r="J512">
            <v>252.60253593749999</v>
          </cell>
        </row>
        <row r="514">
          <cell r="C514" t="str">
            <v>Old Fxd Assets Cumulative</v>
          </cell>
          <cell r="F514" t="str">
            <v>1000</v>
          </cell>
          <cell r="G514" t="str">
            <v>1000</v>
          </cell>
          <cell r="H514" t="str">
            <v>1000</v>
          </cell>
          <cell r="I514" t="str">
            <v>1000</v>
          </cell>
          <cell r="J514" t="str">
            <v>1000</v>
          </cell>
        </row>
        <row r="515">
          <cell r="C515" t="str">
            <v>Depreciation Factor</v>
          </cell>
          <cell r="F515">
            <v>0.2</v>
          </cell>
          <cell r="G515">
            <v>0.2</v>
          </cell>
          <cell r="H515">
            <v>0.2</v>
          </cell>
          <cell r="I515">
            <v>0.2</v>
          </cell>
          <cell r="J515">
            <v>0.19999999999999996</v>
          </cell>
          <cell r="K515">
            <v>1</v>
          </cell>
        </row>
        <row r="516">
          <cell r="C516" t="str">
            <v>Old Fxd Assets Each Yr</v>
          </cell>
          <cell r="F516">
            <v>1000</v>
          </cell>
          <cell r="G516">
            <v>0</v>
          </cell>
          <cell r="H516">
            <v>0</v>
          </cell>
          <cell r="I516">
            <v>0</v>
          </cell>
          <cell r="J516">
            <v>0</v>
          </cell>
        </row>
        <row r="517">
          <cell r="C517" t="str">
            <v>Depreciation-1</v>
          </cell>
          <cell r="F517">
            <v>200</v>
          </cell>
          <cell r="G517">
            <v>200</v>
          </cell>
          <cell r="H517">
            <v>200</v>
          </cell>
          <cell r="I517">
            <v>200</v>
          </cell>
          <cell r="J517">
            <v>200</v>
          </cell>
        </row>
        <row r="518">
          <cell r="C518" t="str">
            <v>A/D-old Fixed Assets-1</v>
          </cell>
          <cell r="F518">
            <v>200</v>
          </cell>
          <cell r="G518">
            <v>400</v>
          </cell>
          <cell r="H518">
            <v>600</v>
          </cell>
          <cell r="I518">
            <v>800</v>
          </cell>
          <cell r="J518">
            <v>1000</v>
          </cell>
        </row>
        <row r="519">
          <cell r="C519" t="str">
            <v>Depreciation-2</v>
          </cell>
          <cell r="G519">
            <v>0</v>
          </cell>
          <cell r="H519">
            <v>0</v>
          </cell>
          <cell r="I519">
            <v>0</v>
          </cell>
          <cell r="J519">
            <v>0</v>
          </cell>
        </row>
        <row r="520">
          <cell r="C520" t="str">
            <v>A/D-old Fixed Assets-2</v>
          </cell>
          <cell r="G520">
            <v>0</v>
          </cell>
          <cell r="H520">
            <v>0</v>
          </cell>
          <cell r="I520">
            <v>0</v>
          </cell>
          <cell r="J520">
            <v>0</v>
          </cell>
        </row>
        <row r="521">
          <cell r="C521" t="str">
            <v>Depreciation-3</v>
          </cell>
          <cell r="H521">
            <v>0</v>
          </cell>
          <cell r="I521">
            <v>0</v>
          </cell>
          <cell r="J521">
            <v>0</v>
          </cell>
        </row>
        <row r="522">
          <cell r="C522" t="str">
            <v>A/D-old Fixed Assets-3</v>
          </cell>
          <cell r="H522">
            <v>0</v>
          </cell>
          <cell r="I522">
            <v>0</v>
          </cell>
          <cell r="J522">
            <v>0</v>
          </cell>
        </row>
        <row r="523">
          <cell r="C523" t="str">
            <v>Depreciation-4</v>
          </cell>
          <cell r="I523">
            <v>0</v>
          </cell>
          <cell r="J523">
            <v>0</v>
          </cell>
        </row>
        <row r="524">
          <cell r="C524" t="str">
            <v>A/D-old Fixed Assets-4</v>
          </cell>
          <cell r="I524">
            <v>0</v>
          </cell>
          <cell r="J524">
            <v>0</v>
          </cell>
        </row>
        <row r="525">
          <cell r="C525" t="str">
            <v>Depreciation-5</v>
          </cell>
          <cell r="J525">
            <v>0</v>
          </cell>
        </row>
        <row r="526">
          <cell r="C526" t="str">
            <v>A/D-old Fixed Assets-5</v>
          </cell>
          <cell r="J526">
            <v>0</v>
          </cell>
        </row>
        <row r="528">
          <cell r="C528" t="str">
            <v>A/D-old Fixed Assets-ALL</v>
          </cell>
          <cell r="F528">
            <v>200</v>
          </cell>
          <cell r="G528">
            <v>400</v>
          </cell>
          <cell r="H528">
            <v>600</v>
          </cell>
          <cell r="I528">
            <v>800</v>
          </cell>
          <cell r="J528">
            <v>1000</v>
          </cell>
        </row>
        <row r="531">
          <cell r="C531" t="str">
            <v>Cap Ex Borrowing/Yr</v>
          </cell>
          <cell r="F531">
            <v>59.0625</v>
          </cell>
          <cell r="G531">
            <v>62.015625</v>
          </cell>
          <cell r="H531">
            <v>65.116406250000011</v>
          </cell>
          <cell r="I531">
            <v>68.372226562500003</v>
          </cell>
          <cell r="J531">
            <v>71.790837890624999</v>
          </cell>
        </row>
        <row r="532">
          <cell r="C532" t="str">
            <v>Cap Ex Payments Each Yr-1</v>
          </cell>
          <cell r="F532">
            <v>11.8125</v>
          </cell>
          <cell r="G532">
            <v>11.8125</v>
          </cell>
          <cell r="H532">
            <v>11.8125</v>
          </cell>
          <cell r="I532">
            <v>11.8125</v>
          </cell>
          <cell r="J532">
            <v>11.8125</v>
          </cell>
        </row>
        <row r="533">
          <cell r="C533" t="str">
            <v>Acc. Cap Ex Pymnts-1</v>
          </cell>
          <cell r="F533">
            <v>11.8125</v>
          </cell>
          <cell r="G533">
            <v>23.625</v>
          </cell>
          <cell r="H533">
            <v>35.4375</v>
          </cell>
          <cell r="I533">
            <v>47.25</v>
          </cell>
          <cell r="J533">
            <v>59.0625</v>
          </cell>
        </row>
        <row r="534">
          <cell r="C534" t="str">
            <v>Cap Ex Payments Each Yr-2</v>
          </cell>
          <cell r="G534">
            <v>12.403124999999999</v>
          </cell>
          <cell r="H534">
            <v>12.403124999999999</v>
          </cell>
          <cell r="I534">
            <v>12.403124999999999</v>
          </cell>
          <cell r="J534">
            <v>12.403124999999999</v>
          </cell>
        </row>
        <row r="535">
          <cell r="C535" t="str">
            <v>Acc. Cap Ex Pymnts-2</v>
          </cell>
          <cell r="G535">
            <v>12.403124999999999</v>
          </cell>
          <cell r="H535">
            <v>24.806249999999999</v>
          </cell>
          <cell r="I535">
            <v>37.209374999999994</v>
          </cell>
          <cell r="J535">
            <v>49.612499999999997</v>
          </cell>
        </row>
        <row r="536">
          <cell r="C536" t="str">
            <v>Cap Ex Payments Each Yr-3</v>
          </cell>
          <cell r="H536">
            <v>13.023281250000002</v>
          </cell>
          <cell r="I536">
            <v>13.023281250000002</v>
          </cell>
          <cell r="J536">
            <v>13.023281250000002</v>
          </cell>
        </row>
        <row r="537">
          <cell r="C537" t="str">
            <v>Acc. Cap Ex Pymnts-3</v>
          </cell>
          <cell r="H537">
            <v>13.023281250000002</v>
          </cell>
          <cell r="I537">
            <v>26.046562500000004</v>
          </cell>
          <cell r="J537">
            <v>39.069843750000004</v>
          </cell>
        </row>
        <row r="538">
          <cell r="C538" t="str">
            <v>Cap Ex Payments Each Yr-4</v>
          </cell>
          <cell r="I538">
            <v>13.674445312500001</v>
          </cell>
          <cell r="J538">
            <v>13.674445312500001</v>
          </cell>
        </row>
        <row r="539">
          <cell r="C539" t="str">
            <v>Acc. Cap Ex Pymnts-4</v>
          </cell>
          <cell r="I539">
            <v>13.674445312500001</v>
          </cell>
          <cell r="J539">
            <v>27.348890625000003</v>
          </cell>
        </row>
        <row r="540">
          <cell r="C540" t="str">
            <v>Cap Ex Payments Each Yr-5</v>
          </cell>
          <cell r="J540">
            <v>14.358167578125</v>
          </cell>
        </row>
        <row r="541">
          <cell r="C541" t="str">
            <v>Acc. Cap Ex Pymnts-5</v>
          </cell>
          <cell r="J541">
            <v>14.358167578125</v>
          </cell>
        </row>
        <row r="543">
          <cell r="C543" t="str">
            <v>CapEx PaymentsALL</v>
          </cell>
          <cell r="F543">
            <v>11.8125</v>
          </cell>
          <cell r="G543">
            <v>24.215624999999999</v>
          </cell>
          <cell r="H543">
            <v>37.238906249999999</v>
          </cell>
          <cell r="I543">
            <v>50.913351562499997</v>
          </cell>
          <cell r="J543">
            <v>65.271519140625003</v>
          </cell>
        </row>
        <row r="567">
          <cell r="F567" t="str">
            <v>Land</v>
          </cell>
          <cell r="G567">
            <v>50</v>
          </cell>
          <cell r="H567">
            <v>100</v>
          </cell>
        </row>
        <row r="568">
          <cell r="F568" t="str">
            <v>Building</v>
          </cell>
          <cell r="G568">
            <v>400</v>
          </cell>
          <cell r="H568">
            <v>700</v>
          </cell>
        </row>
        <row r="569">
          <cell r="F569" t="str">
            <v>Total Property Value</v>
          </cell>
          <cell r="G569">
            <v>450</v>
          </cell>
          <cell r="H569">
            <v>800</v>
          </cell>
        </row>
        <row r="571">
          <cell r="G571">
            <v>20</v>
          </cell>
        </row>
        <row r="572">
          <cell r="G572">
            <v>2.5000000000000001E-2</v>
          </cell>
        </row>
        <row r="613">
          <cell r="C613">
            <v>1</v>
          </cell>
        </row>
        <row r="615">
          <cell r="C615">
            <v>1</v>
          </cell>
        </row>
        <row r="618">
          <cell r="C618">
            <v>1</v>
          </cell>
        </row>
        <row r="619">
          <cell r="G619">
            <v>0.25</v>
          </cell>
        </row>
        <row r="620">
          <cell r="G620">
            <v>0.2</v>
          </cell>
        </row>
        <row r="621">
          <cell r="G621">
            <v>910</v>
          </cell>
        </row>
        <row r="630">
          <cell r="C630">
            <v>1</v>
          </cell>
        </row>
        <row r="632">
          <cell r="C632">
            <v>1</v>
          </cell>
        </row>
        <row r="634">
          <cell r="C634">
            <v>1</v>
          </cell>
        </row>
        <row r="636">
          <cell r="C636">
            <v>1</v>
          </cell>
        </row>
        <row r="638">
          <cell r="C638">
            <v>1</v>
          </cell>
        </row>
        <row r="640">
          <cell r="C640">
            <v>1</v>
          </cell>
        </row>
        <row r="642">
          <cell r="C642">
            <v>1</v>
          </cell>
        </row>
        <row r="645">
          <cell r="C645">
            <v>1</v>
          </cell>
          <cell r="J645">
            <v>0.08</v>
          </cell>
        </row>
        <row r="646">
          <cell r="J646">
            <v>0.06</v>
          </cell>
        </row>
        <row r="660">
          <cell r="C660">
            <v>1</v>
          </cell>
        </row>
        <row r="663">
          <cell r="C663">
            <v>0</v>
          </cell>
        </row>
        <row r="666">
          <cell r="C666">
            <v>1</v>
          </cell>
        </row>
        <row r="703">
          <cell r="A703" t="str">
            <v>Prepared for:</v>
          </cell>
          <cell r="B703" t="str">
            <v>Mr. Client</v>
          </cell>
          <cell r="F703" t="str">
            <v>25 Year Valuation Analysis</v>
          </cell>
          <cell r="M703">
            <v>44412.60115613426</v>
          </cell>
        </row>
        <row r="704">
          <cell r="A704" t="str">
            <v>Company:</v>
          </cell>
          <cell r="B704" t="str">
            <v>Best Business, Inc.</v>
          </cell>
          <cell r="E704" t="str">
            <v>Preparer:</v>
          </cell>
          <cell r="F704" t="str">
            <v>Mr. Professional</v>
          </cell>
          <cell r="H704" t="str">
            <v>Prepared by:</v>
          </cell>
          <cell r="I704" t="str">
            <v>Illinois Corporate Investments Inc.</v>
          </cell>
        </row>
        <row r="706">
          <cell r="D706" t="str">
            <v>Year0</v>
          </cell>
          <cell r="E706" t="str">
            <v>Year1</v>
          </cell>
          <cell r="F706" t="str">
            <v>Year2</v>
          </cell>
          <cell r="G706" t="str">
            <v>Year3</v>
          </cell>
          <cell r="H706" t="str">
            <v>Year4</v>
          </cell>
          <cell r="I706" t="str">
            <v>Year5</v>
          </cell>
          <cell r="J706" t="str">
            <v xml:space="preserve"> Y 6- 10</v>
          </cell>
          <cell r="K706" t="str">
            <v>Y 11- 15</v>
          </cell>
          <cell r="L706" t="str">
            <v>Y 16- 20</v>
          </cell>
          <cell r="M706" t="str">
            <v>Y 21- 25+</v>
          </cell>
        </row>
        <row r="708">
          <cell r="C708" t="str">
            <v>Sales Growth per yr</v>
          </cell>
          <cell r="D708" t="str">
            <v>-</v>
          </cell>
          <cell r="E708">
            <v>0.05</v>
          </cell>
          <cell r="F708">
            <v>0.05</v>
          </cell>
          <cell r="G708">
            <v>0.05</v>
          </cell>
          <cell r="H708">
            <v>0.05</v>
          </cell>
          <cell r="I708">
            <v>0.05</v>
          </cell>
          <cell r="J708">
            <v>0.05</v>
          </cell>
          <cell r="K708">
            <v>0.05</v>
          </cell>
          <cell r="L708">
            <v>0.05</v>
          </cell>
          <cell r="M708">
            <v>0</v>
          </cell>
        </row>
        <row r="709">
          <cell r="C709" t="str">
            <v>EBITDA % Margin per yr</v>
          </cell>
          <cell r="D709">
            <v>0.15</v>
          </cell>
          <cell r="E709">
            <v>0.15</v>
          </cell>
          <cell r="F709">
            <v>0.15</v>
          </cell>
          <cell r="G709">
            <v>0.15</v>
          </cell>
          <cell r="H709">
            <v>0.15</v>
          </cell>
          <cell r="I709">
            <v>0.15</v>
          </cell>
          <cell r="J709">
            <v>0.15</v>
          </cell>
          <cell r="K709">
            <v>0.15</v>
          </cell>
          <cell r="L709">
            <v>0.15</v>
          </cell>
          <cell r="M709">
            <v>0.15</v>
          </cell>
        </row>
        <row r="710">
          <cell r="C710" t="str">
            <v>Expected Pre-Tax ROE (%)</v>
          </cell>
          <cell r="D710" t="str">
            <v>-</v>
          </cell>
          <cell r="E710">
            <v>0.35</v>
          </cell>
          <cell r="F710">
            <v>0.35</v>
          </cell>
          <cell r="G710">
            <v>0.35</v>
          </cell>
          <cell r="H710">
            <v>0.35</v>
          </cell>
          <cell r="I710">
            <v>0.35</v>
          </cell>
          <cell r="J710">
            <v>0.35</v>
          </cell>
          <cell r="K710">
            <v>0.35</v>
          </cell>
          <cell r="L710">
            <v>0.35</v>
          </cell>
          <cell r="M710">
            <v>0.35</v>
          </cell>
        </row>
        <row r="711">
          <cell r="C711" t="str">
            <v>Cap. Exp. (% of EBITDA) per yr</v>
          </cell>
          <cell r="D711" t="str">
            <v>-</v>
          </cell>
          <cell r="E711">
            <v>0.1</v>
          </cell>
          <cell r="F711">
            <v>0.1</v>
          </cell>
          <cell r="G711">
            <v>0.1</v>
          </cell>
          <cell r="H711">
            <v>0.1</v>
          </cell>
          <cell r="I711">
            <v>0.1</v>
          </cell>
          <cell r="J711">
            <v>0.1</v>
          </cell>
          <cell r="K711">
            <v>0.1</v>
          </cell>
          <cell r="L711">
            <v>0.1</v>
          </cell>
          <cell r="M711">
            <v>0.1</v>
          </cell>
        </row>
        <row r="712">
          <cell r="C712" t="str">
            <v>Term Loan: Amortization (yrs)</v>
          </cell>
          <cell r="D712" t="str">
            <v>-</v>
          </cell>
          <cell r="E712">
            <v>5</v>
          </cell>
          <cell r="F712">
            <v>5</v>
          </cell>
          <cell r="G712">
            <v>5</v>
          </cell>
          <cell r="H712">
            <v>5</v>
          </cell>
          <cell r="I712">
            <v>5</v>
          </cell>
          <cell r="J712">
            <v>5</v>
          </cell>
          <cell r="K712">
            <v>5</v>
          </cell>
          <cell r="L712">
            <v>5</v>
          </cell>
          <cell r="M712">
            <v>5</v>
          </cell>
        </row>
        <row r="713">
          <cell r="C713" t="str">
            <v>Term Loan: Interest Rate</v>
          </cell>
          <cell r="D713" t="str">
            <v>-</v>
          </cell>
          <cell r="E713">
            <v>0.1</v>
          </cell>
          <cell r="F713">
            <v>0.1</v>
          </cell>
          <cell r="G713">
            <v>0.1</v>
          </cell>
          <cell r="H713">
            <v>0.1</v>
          </cell>
          <cell r="I713">
            <v>0.1</v>
          </cell>
          <cell r="J713">
            <v>0.1</v>
          </cell>
          <cell r="K713">
            <v>0.1</v>
          </cell>
          <cell r="L713">
            <v>0.1</v>
          </cell>
          <cell r="M713">
            <v>0.1</v>
          </cell>
        </row>
        <row r="714">
          <cell r="C714" t="str">
            <v>Gap (Seller) Note: Amort. (yrs)</v>
          </cell>
          <cell r="D714" t="str">
            <v>-</v>
          </cell>
          <cell r="E714">
            <v>5</v>
          </cell>
          <cell r="F714">
            <v>5</v>
          </cell>
          <cell r="G714">
            <v>5</v>
          </cell>
          <cell r="H714">
            <v>5</v>
          </cell>
          <cell r="I714">
            <v>5</v>
          </cell>
          <cell r="J714">
            <v>5</v>
          </cell>
          <cell r="K714">
            <v>5</v>
          </cell>
          <cell r="L714">
            <v>5</v>
          </cell>
          <cell r="M714">
            <v>5</v>
          </cell>
        </row>
        <row r="715">
          <cell r="C715" t="str">
            <v>Gap (Seller) Note: Interest Rate</v>
          </cell>
          <cell r="D715" t="str">
            <v>-</v>
          </cell>
          <cell r="E715">
            <v>0.1</v>
          </cell>
          <cell r="F715">
            <v>0.1</v>
          </cell>
          <cell r="G715">
            <v>0.1</v>
          </cell>
          <cell r="H715">
            <v>0.1</v>
          </cell>
          <cell r="I715">
            <v>0.1</v>
          </cell>
          <cell r="J715">
            <v>0.1</v>
          </cell>
          <cell r="K715">
            <v>0.1</v>
          </cell>
          <cell r="L715">
            <v>0.1</v>
          </cell>
          <cell r="M715">
            <v>0.1</v>
          </cell>
        </row>
        <row r="716">
          <cell r="C716" t="str">
            <v>Buyer's Corp. Structure (S or C)</v>
          </cell>
          <cell r="D716" t="str">
            <v>-</v>
          </cell>
          <cell r="E716" t="str">
            <v>S</v>
          </cell>
          <cell r="F716" t="str">
            <v>S</v>
          </cell>
          <cell r="G716" t="str">
            <v>S</v>
          </cell>
          <cell r="H716" t="str">
            <v>S</v>
          </cell>
          <cell r="I716" t="str">
            <v>S</v>
          </cell>
          <cell r="J716" t="str">
            <v>S</v>
          </cell>
          <cell r="K716" t="str">
            <v>S</v>
          </cell>
          <cell r="L716" t="str">
            <v>S</v>
          </cell>
          <cell r="M716" t="str">
            <v>S</v>
          </cell>
        </row>
        <row r="717">
          <cell r="C717" t="str">
            <v>Asset or Stock Purchase</v>
          </cell>
          <cell r="D717" t="str">
            <v>-</v>
          </cell>
          <cell r="E717" t="str">
            <v>A</v>
          </cell>
          <cell r="F717" t="str">
            <v>A</v>
          </cell>
          <cell r="G717" t="str">
            <v>A</v>
          </cell>
          <cell r="H717" t="str">
            <v>A</v>
          </cell>
          <cell r="I717" t="str">
            <v>A</v>
          </cell>
          <cell r="J717" t="str">
            <v>A</v>
          </cell>
          <cell r="K717" t="str">
            <v>A</v>
          </cell>
          <cell r="L717" t="str">
            <v>A</v>
          </cell>
          <cell r="M717" t="str">
            <v>A</v>
          </cell>
          <cell r="N717" t="str">
            <v>No</v>
          </cell>
        </row>
        <row r="718">
          <cell r="C718" t="str">
            <v>A/R # of days</v>
          </cell>
          <cell r="D718">
            <v>43.8</v>
          </cell>
          <cell r="E718">
            <v>43.8</v>
          </cell>
          <cell r="F718">
            <v>43.8</v>
          </cell>
          <cell r="G718">
            <v>43.8</v>
          </cell>
          <cell r="H718">
            <v>43.8</v>
          </cell>
          <cell r="I718">
            <v>43.8</v>
          </cell>
          <cell r="J718">
            <v>43.8</v>
          </cell>
          <cell r="K718">
            <v>43.8</v>
          </cell>
          <cell r="L718">
            <v>43.8</v>
          </cell>
          <cell r="M718">
            <v>43.8</v>
          </cell>
        </row>
        <row r="719">
          <cell r="C719" t="str">
            <v>Inventory Turns (Sales/Inv)</v>
          </cell>
          <cell r="D719">
            <v>5.5555555555555554</v>
          </cell>
          <cell r="E719">
            <v>5.5555555555555554</v>
          </cell>
          <cell r="F719">
            <v>5.5555555555555554</v>
          </cell>
          <cell r="G719">
            <v>5.5555555555555554</v>
          </cell>
          <cell r="H719">
            <v>5.5555555555555554</v>
          </cell>
          <cell r="I719">
            <v>5.5555555555555554</v>
          </cell>
          <cell r="J719">
            <v>5.5555555555555554</v>
          </cell>
          <cell r="K719">
            <v>5.5555555555555554</v>
          </cell>
          <cell r="L719">
            <v>5.5555555555555554</v>
          </cell>
          <cell r="M719">
            <v>5.5555555555555554</v>
          </cell>
        </row>
        <row r="720">
          <cell r="C720" t="str">
            <v>A/P (%of Sales)</v>
          </cell>
          <cell r="D720">
            <v>0.06</v>
          </cell>
          <cell r="E720">
            <v>0.06</v>
          </cell>
          <cell r="F720">
            <v>0.06</v>
          </cell>
          <cell r="G720">
            <v>0.06</v>
          </cell>
          <cell r="H720">
            <v>0.06</v>
          </cell>
          <cell r="I720">
            <v>0.06</v>
          </cell>
          <cell r="J720">
            <v>0.06</v>
          </cell>
          <cell r="K720">
            <v>0.06</v>
          </cell>
          <cell r="L720">
            <v>0.06</v>
          </cell>
          <cell r="M720">
            <v>0.06</v>
          </cell>
        </row>
        <row r="742">
          <cell r="G742" t="str">
            <v>Purchase Multiple (PM)</v>
          </cell>
          <cell r="I742">
            <v>4.8968535306482313</v>
          </cell>
          <cell r="J742">
            <v>4.889125406231515</v>
          </cell>
          <cell r="K742">
            <v>4.889125406231515</v>
          </cell>
          <cell r="L742">
            <v>4.889125406231515</v>
          </cell>
          <cell r="M742">
            <v>4.889125406231515</v>
          </cell>
        </row>
        <row r="744">
          <cell r="G744" t="str">
            <v>Exit Multiple (EM)</v>
          </cell>
          <cell r="I744">
            <v>4.889125406231515</v>
          </cell>
          <cell r="J744">
            <v>4.889125406231515</v>
          </cell>
          <cell r="K744">
            <v>4.889125406231515</v>
          </cell>
          <cell r="L744">
            <v>4.889125406231515</v>
          </cell>
          <cell r="M744" t="str">
            <v>PM</v>
          </cell>
        </row>
        <row r="746">
          <cell r="C746" t="str">
            <v>25 Year Analysis</v>
          </cell>
          <cell r="D746" t="str">
            <v>Year 0</v>
          </cell>
          <cell r="H746" t="str">
            <v>Year0</v>
          </cell>
          <cell r="I746" t="str">
            <v>Year5</v>
          </cell>
          <cell r="J746" t="str">
            <v>Year10</v>
          </cell>
          <cell r="K746" t="str">
            <v>Year15</v>
          </cell>
          <cell r="L746" t="str">
            <v>Year20</v>
          </cell>
          <cell r="M746" t="str">
            <v>Year25</v>
          </cell>
        </row>
        <row r="747">
          <cell r="C747" t="str">
            <v>Enterprise Value</v>
          </cell>
          <cell r="D747">
            <v>3672.6401479861734</v>
          </cell>
          <cell r="G747" t="str">
            <v>Sales</v>
          </cell>
          <cell r="H747" t="str">
            <v>5000</v>
          </cell>
          <cell r="I747">
            <v>6381.4078125000005</v>
          </cell>
          <cell r="J747">
            <v>8144.4731338872089</v>
          </cell>
          <cell r="K747">
            <v>10394.640897056839</v>
          </cell>
          <cell r="L747">
            <v>13266.488525722105</v>
          </cell>
          <cell r="M747">
            <v>13266.488525722105</v>
          </cell>
        </row>
        <row r="748">
          <cell r="C748" t="str">
            <v>EBITDA</v>
          </cell>
          <cell r="D748">
            <v>750</v>
          </cell>
          <cell r="G748" t="str">
            <v>EBITDA</v>
          </cell>
          <cell r="H748">
            <v>750</v>
          </cell>
          <cell r="I748">
            <v>957.21117187499999</v>
          </cell>
          <cell r="J748">
            <v>1221.6709700830813</v>
          </cell>
          <cell r="K748">
            <v>1559.1961345585257</v>
          </cell>
          <cell r="L748">
            <v>1989.9732788583156</v>
          </cell>
          <cell r="M748">
            <v>1989.9732788583156</v>
          </cell>
        </row>
        <row r="749">
          <cell r="C749" t="str">
            <v>EBITDA Multiple</v>
          </cell>
          <cell r="D749">
            <v>4.8968535306482313</v>
          </cell>
          <cell r="G749" t="str">
            <v>Enterprise Value</v>
          </cell>
          <cell r="H749">
            <v>3672.6401479861734</v>
          </cell>
          <cell r="I749">
            <v>4679.9254595427037</v>
          </cell>
          <cell r="J749">
            <v>5972.9025778886944</v>
          </cell>
          <cell r="K749">
            <v>7623.1054347680601</v>
          </cell>
          <cell r="L749">
            <v>9729.2289153880229</v>
          </cell>
          <cell r="M749">
            <v>9729.2289153880229</v>
          </cell>
        </row>
        <row r="751">
          <cell r="A751" t="str">
            <v>Note</v>
          </cell>
          <cell r="B751" t="str">
            <v>1. Deal 25 assumes perpetual business performance starting Year21. Because, Price Multiples are constant in perpetuity, Exit Muliple in Year25 is equal to Purchase Multiple (PM) at the beginning of Year21. This allows BVX to first value Years 21-25, then Years 16-20, then Years 11-15, and so forth till Year 0.</v>
          </cell>
        </row>
        <row r="753">
          <cell r="B753" t="str">
            <v xml:space="preserve">2. Deal 25 assumes that the business is refinanced at the highest value (BVX-Best Value) every 5 years. Net proceeds of refinancing are distributed to the owner. This refinancing assumption maximizes present value (PV) of future cash flows i.e. Enterprise Value. This Enterprise Value is the same as if the business is sold, or deemed to have been sold, at BVX-Best Value, every 5 years. </v>
          </cell>
        </row>
        <row r="756">
          <cell r="B756" t="str">
            <v>3. Except for the above Input Variables, Deal 25 uses all other inputs from the Overview screen. They are printed on the Valuation Parameters page and are an integral part of this valuation.</v>
          </cell>
        </row>
        <row r="835">
          <cell r="A835" t="str">
            <v>Prepared for:</v>
          </cell>
          <cell r="B835" t="str">
            <v>Mr. Client</v>
          </cell>
          <cell r="F835" t="str">
            <v>Financial Ratios</v>
          </cell>
          <cell r="M835">
            <v>44412.60115613426</v>
          </cell>
        </row>
        <row r="836">
          <cell r="A836" t="str">
            <v>Company:</v>
          </cell>
          <cell r="B836" t="str">
            <v>Best Business, Inc.</v>
          </cell>
          <cell r="E836" t="str">
            <v>Preparer:</v>
          </cell>
          <cell r="F836" t="str">
            <v>Mr. Professional</v>
          </cell>
          <cell r="H836" t="str">
            <v>Prepared by:</v>
          </cell>
          <cell r="I836" t="str">
            <v>Illinois Corporate Investments Inc.</v>
          </cell>
        </row>
        <row r="838">
          <cell r="A838" t="str">
            <v>Definitions</v>
          </cell>
        </row>
        <row r="840">
          <cell r="D840" t="str">
            <v>Cap Ex</v>
          </cell>
          <cell r="F840" t="str">
            <v>Depr. &amp;</v>
          </cell>
          <cell r="G840" t="str">
            <v>Working Cap</v>
          </cell>
          <cell r="H840" t="str">
            <v>S Tax Dist</v>
          </cell>
          <cell r="I840" t="str">
            <v>Interest</v>
          </cell>
        </row>
        <row r="841">
          <cell r="A841" t="str">
            <v>Numerator</v>
          </cell>
          <cell r="C841" t="str">
            <v>EBITDA</v>
          </cell>
          <cell r="D841" t="str">
            <v>(deduct)</v>
          </cell>
          <cell r="E841" t="str">
            <v>Net Income</v>
          </cell>
          <cell r="F841" t="str">
            <v>Amortization</v>
          </cell>
          <cell r="G841" t="str">
            <v>(deduct)</v>
          </cell>
          <cell r="H841" t="str">
            <v>(deduct)</v>
          </cell>
          <cell r="I841" t="str">
            <v>on Cash</v>
          </cell>
        </row>
        <row r="843">
          <cell r="A843" t="str">
            <v>N1</v>
          </cell>
          <cell r="B843" t="str">
            <v>EBITDA</v>
          </cell>
          <cell r="C843" t="str">
            <v>x</v>
          </cell>
        </row>
        <row r="844">
          <cell r="A844" t="str">
            <v>N2</v>
          </cell>
          <cell r="B844" t="str">
            <v>Gross FCF</v>
          </cell>
          <cell r="E844" t="str">
            <v>x</v>
          </cell>
          <cell r="F844" t="str">
            <v>x</v>
          </cell>
          <cell r="H844" t="str">
            <v>x</v>
          </cell>
        </row>
        <row r="845">
          <cell r="A845" t="str">
            <v>N3</v>
          </cell>
          <cell r="B845" t="str">
            <v>Enter N3 Label</v>
          </cell>
        </row>
        <row r="846">
          <cell r="A846" t="str">
            <v>N4</v>
          </cell>
          <cell r="B846" t="str">
            <v>Enter N4 Label</v>
          </cell>
        </row>
        <row r="847">
          <cell r="A847" t="str">
            <v>N5</v>
          </cell>
          <cell r="B847" t="str">
            <v>Enter N5 Label</v>
          </cell>
        </row>
        <row r="848">
          <cell r="A848" t="str">
            <v>N6</v>
          </cell>
          <cell r="B848" t="str">
            <v>Enter N6 Label</v>
          </cell>
        </row>
        <row r="850">
          <cell r="E850" t="str">
            <v>Gap (Seller)</v>
          </cell>
          <cell r="F850" t="str">
            <v>Gap (Seller)</v>
          </cell>
          <cell r="I850" t="str">
            <v>Personal</v>
          </cell>
          <cell r="J850" t="str">
            <v>Over Adv.</v>
          </cell>
          <cell r="K850" t="str">
            <v>Mezzanine</v>
          </cell>
          <cell r="L850" t="str">
            <v>New Cap Ex</v>
          </cell>
        </row>
        <row r="851">
          <cell r="A851" t="str">
            <v>Denominator</v>
          </cell>
          <cell r="C851" t="str">
            <v>Revolver</v>
          </cell>
          <cell r="D851" t="str">
            <v>Term Loan</v>
          </cell>
          <cell r="E851" t="str">
            <v>Note</v>
          </cell>
          <cell r="F851" t="str">
            <v>Balloon Note</v>
          </cell>
          <cell r="G851" t="str">
            <v>Non-Compete</v>
          </cell>
          <cell r="H851" t="str">
            <v>Consulting</v>
          </cell>
          <cell r="I851" t="str">
            <v>Goodwill (PG)</v>
          </cell>
          <cell r="J851" t="str">
            <v>Loan</v>
          </cell>
          <cell r="K851" t="str">
            <v>Financing</v>
          </cell>
          <cell r="L851" t="str">
            <v>Loan</v>
          </cell>
          <cell r="M851" t="str">
            <v>Earn-Out</v>
          </cell>
        </row>
        <row r="853">
          <cell r="A853" t="str">
            <v>D1</v>
          </cell>
          <cell r="B853" t="str">
            <v xml:space="preserve">Sr. Debt </v>
          </cell>
          <cell r="C853" t="str">
            <v>x</v>
          </cell>
          <cell r="D853" t="str">
            <v>x</v>
          </cell>
          <cell r="J853" t="str">
            <v>x</v>
          </cell>
          <cell r="L853" t="str">
            <v>x</v>
          </cell>
        </row>
        <row r="854">
          <cell r="A854" t="str">
            <v>D2</v>
          </cell>
          <cell r="B854" t="str">
            <v xml:space="preserve">Total Debt </v>
          </cell>
          <cell r="C854" t="str">
            <v>x</v>
          </cell>
          <cell r="D854" t="str">
            <v>x</v>
          </cell>
          <cell r="E854" t="str">
            <v>x</v>
          </cell>
          <cell r="F854" t="str">
            <v>x</v>
          </cell>
          <cell r="J854" t="str">
            <v>x</v>
          </cell>
          <cell r="K854" t="str">
            <v>x</v>
          </cell>
          <cell r="L854" t="str">
            <v>x</v>
          </cell>
        </row>
        <row r="855">
          <cell r="A855" t="str">
            <v>D3</v>
          </cell>
          <cell r="B855" t="str">
            <v>All Obligations</v>
          </cell>
          <cell r="C855" t="str">
            <v>x</v>
          </cell>
          <cell r="D855" t="str">
            <v>x</v>
          </cell>
          <cell r="E855" t="str">
            <v>x</v>
          </cell>
          <cell r="F855" t="str">
            <v>x</v>
          </cell>
          <cell r="G855" t="str">
            <v>x</v>
          </cell>
          <cell r="H855" t="str">
            <v>x</v>
          </cell>
          <cell r="I855" t="str">
            <v>x</v>
          </cell>
          <cell r="J855" t="str">
            <v>x</v>
          </cell>
          <cell r="K855" t="str">
            <v>x</v>
          </cell>
          <cell r="L855" t="str">
            <v>x</v>
          </cell>
        </row>
        <row r="856">
          <cell r="A856" t="str">
            <v>D4</v>
          </cell>
          <cell r="B856" t="str">
            <v>Enter D4 Label</v>
          </cell>
        </row>
        <row r="857">
          <cell r="A857" t="str">
            <v>D5</v>
          </cell>
          <cell r="B857" t="str">
            <v>Enter D5 Label</v>
          </cell>
        </row>
        <row r="858">
          <cell r="A858" t="str">
            <v>D6</v>
          </cell>
          <cell r="B858" t="str">
            <v>Enter D6 Label</v>
          </cell>
        </row>
        <row r="860">
          <cell r="A860" t="str">
            <v>Define Ratios</v>
          </cell>
          <cell r="C860" t="str">
            <v>Ratio Label</v>
          </cell>
          <cell r="F860" t="str">
            <v>Numerator</v>
          </cell>
          <cell r="G860" t="str">
            <v>Denominator</v>
          </cell>
        </row>
        <row r="862">
          <cell r="B862">
            <v>1</v>
          </cell>
          <cell r="C862" t="str">
            <v xml:space="preserve">EBITDA to Sr. Debt </v>
          </cell>
          <cell r="F862" t="str">
            <v>N1</v>
          </cell>
          <cell r="G862" t="str">
            <v>D1</v>
          </cell>
        </row>
        <row r="863">
          <cell r="B863">
            <v>2</v>
          </cell>
          <cell r="C863" t="str">
            <v xml:space="preserve">Gross FCF to Total Debt </v>
          </cell>
          <cell r="F863" t="str">
            <v>N2</v>
          </cell>
          <cell r="G863" t="str">
            <v>D2</v>
          </cell>
        </row>
        <row r="864">
          <cell r="B864">
            <v>3</v>
          </cell>
          <cell r="C864" t="str">
            <v xml:space="preserve">EBITDA to Total Debt </v>
          </cell>
          <cell r="F864" t="str">
            <v>N1</v>
          </cell>
          <cell r="G864" t="str">
            <v>D2</v>
          </cell>
        </row>
        <row r="865">
          <cell r="B865">
            <v>4</v>
          </cell>
          <cell r="C865" t="str">
            <v>Select Numerator &amp; Denominator</v>
          </cell>
        </row>
        <row r="866">
          <cell r="B866">
            <v>5</v>
          </cell>
          <cell r="C866" t="str">
            <v>Select Numerator &amp; Denominator</v>
          </cell>
        </row>
        <row r="868">
          <cell r="A868" t="str">
            <v>Interest Coverage Ratios</v>
          </cell>
          <cell r="F868" t="str">
            <v>Year1</v>
          </cell>
          <cell r="G868" t="str">
            <v>Year2</v>
          </cell>
          <cell r="H868" t="str">
            <v>Year3</v>
          </cell>
          <cell r="I868" t="str">
            <v>Year4</v>
          </cell>
          <cell r="J868" t="str">
            <v>Year5</v>
          </cell>
        </row>
        <row r="870">
          <cell r="D870" t="str">
            <v>EBITDA to Sr. Debt  Interest</v>
          </cell>
          <cell r="F870">
            <v>4.6349089571454849</v>
          </cell>
          <cell r="G870">
            <v>5.0689169643968937</v>
          </cell>
          <cell r="H870">
            <v>5.7021170019488459</v>
          </cell>
          <cell r="I870">
            <v>6.6563187677932998</v>
          </cell>
          <cell r="J870">
            <v>8.1930432745205533</v>
          </cell>
          <cell r="K870" t="str">
            <v/>
          </cell>
        </row>
        <row r="871">
          <cell r="D871" t="str">
            <v>Gross FCF to Total Debt  Interest</v>
          </cell>
          <cell r="F871" t="str">
            <v>**</v>
          </cell>
          <cell r="G871" t="str">
            <v>**</v>
          </cell>
          <cell r="H871" t="str">
            <v>**</v>
          </cell>
          <cell r="I871" t="str">
            <v>**</v>
          </cell>
          <cell r="J871" t="str">
            <v>**</v>
          </cell>
          <cell r="K871" t="str">
            <v xml:space="preserve">   No Ratio; Numerator is Principal, Denominator is Interest</v>
          </cell>
        </row>
        <row r="872">
          <cell r="D872" t="str">
            <v>EBITDA to Total Debt  Interest</v>
          </cell>
          <cell r="F872">
            <v>2.6969939166005843</v>
          </cell>
          <cell r="G872">
            <v>3.1705941215329121</v>
          </cell>
          <cell r="H872">
            <v>3.8499578262403742</v>
          </cell>
          <cell r="I872">
            <v>4.9067420454768422</v>
          </cell>
          <cell r="J872">
            <v>6.7767503277698742</v>
          </cell>
          <cell r="K872" t="str">
            <v/>
          </cell>
        </row>
        <row r="873">
          <cell r="D873" t="str">
            <v>Select Numerator &amp; Denominator</v>
          </cell>
          <cell r="F873" t="str">
            <v>n/a</v>
          </cell>
          <cell r="G873" t="str">
            <v>n/a</v>
          </cell>
          <cell r="H873" t="str">
            <v>n/a</v>
          </cell>
          <cell r="I873" t="str">
            <v>n/a</v>
          </cell>
          <cell r="J873" t="str">
            <v>n/a</v>
          </cell>
          <cell r="K873" t="str">
            <v/>
          </cell>
        </row>
        <row r="874">
          <cell r="D874" t="str">
            <v>Select Numerator &amp; Denominator</v>
          </cell>
          <cell r="F874" t="str">
            <v>n/a</v>
          </cell>
          <cell r="G874" t="str">
            <v>n/a</v>
          </cell>
          <cell r="H874" t="str">
            <v>n/a</v>
          </cell>
          <cell r="I874" t="str">
            <v>n/a</v>
          </cell>
          <cell r="J874" t="str">
            <v>n/a</v>
          </cell>
          <cell r="K874" t="str">
            <v/>
          </cell>
        </row>
        <row r="876">
          <cell r="A876" t="str">
            <v>Debt Service Coverage Ratios</v>
          </cell>
          <cell r="E876" t="str">
            <v>P or P+I</v>
          </cell>
          <cell r="F876" t="str">
            <v>Year1</v>
          </cell>
          <cell r="G876" t="str">
            <v>Year2</v>
          </cell>
          <cell r="H876" t="str">
            <v>Year3</v>
          </cell>
          <cell r="I876" t="str">
            <v>Year4</v>
          </cell>
          <cell r="J876" t="str">
            <v>Year5</v>
          </cell>
        </row>
        <row r="878">
          <cell r="D878" t="str">
            <v>EBITDA to Sr. Debt Service</v>
          </cell>
          <cell r="E878" t="str">
            <v>P+I</v>
          </cell>
          <cell r="F878">
            <v>2.3045267489711936</v>
          </cell>
          <cell r="G878">
            <v>2.380577510470133</v>
          </cell>
          <cell r="H878">
            <v>2.4841636250183288</v>
          </cell>
          <cell r="I878">
            <v>2.6206015824481188</v>
          </cell>
          <cell r="J878">
            <v>2.7980146136573261</v>
          </cell>
        </row>
        <row r="879">
          <cell r="D879" t="str">
            <v>Gross FCF to Total Debt Service</v>
          </cell>
          <cell r="E879" t="str">
            <v>P</v>
          </cell>
          <cell r="F879">
            <v>1.0904619231686985</v>
          </cell>
          <cell r="G879">
            <v>1.1709040222800853</v>
          </cell>
          <cell r="H879">
            <v>1.2538314285096857</v>
          </cell>
          <cell r="I879">
            <v>1.3392210679510277</v>
          </cell>
          <cell r="J879">
            <v>1.4270387668929416</v>
          </cell>
        </row>
        <row r="880">
          <cell r="D880" t="str">
            <v>EBITDA to Total Debt Service</v>
          </cell>
          <cell r="E880" t="str">
            <v>P+I</v>
          </cell>
          <cell r="F880">
            <v>1.1123269735019119</v>
          </cell>
          <cell r="G880">
            <v>1.1997925973694838</v>
          </cell>
          <cell r="H880">
            <v>1.3018260889712878</v>
          </cell>
          <cell r="I880">
            <v>1.4224752384468637</v>
          </cell>
          <cell r="J880">
            <v>1.5674209589584336</v>
          </cell>
        </row>
        <row r="881">
          <cell r="D881" t="str">
            <v>Select Numerator &amp; Denominator</v>
          </cell>
          <cell r="E881" t="str">
            <v>P+I</v>
          </cell>
          <cell r="F881" t="str">
            <v>n/a</v>
          </cell>
          <cell r="G881" t="str">
            <v>n/a</v>
          </cell>
          <cell r="H881" t="str">
            <v>n/a</v>
          </cell>
          <cell r="I881" t="str">
            <v>n/a</v>
          </cell>
          <cell r="J881" t="str">
            <v>n/a</v>
          </cell>
        </row>
        <row r="882">
          <cell r="D882" t="str">
            <v>Select Numerator &amp; Denominator</v>
          </cell>
          <cell r="E882" t="str">
            <v>P+I</v>
          </cell>
          <cell r="F882" t="str">
            <v>n/a</v>
          </cell>
          <cell r="G882" t="str">
            <v>n/a</v>
          </cell>
          <cell r="H882" t="str">
            <v>n/a</v>
          </cell>
          <cell r="I882" t="str">
            <v>n/a</v>
          </cell>
          <cell r="J882" t="str">
            <v>n/a</v>
          </cell>
        </row>
        <row r="884">
          <cell r="A884" t="str">
            <v>Other Ratios</v>
          </cell>
          <cell r="E884" t="str">
            <v>Year0</v>
          </cell>
          <cell r="F884" t="str">
            <v>Year1</v>
          </cell>
          <cell r="G884" t="str">
            <v>Year2</v>
          </cell>
          <cell r="H884" t="str">
            <v>Year3</v>
          </cell>
          <cell r="I884" t="str">
            <v>Year4</v>
          </cell>
          <cell r="J884" t="str">
            <v>Year5</v>
          </cell>
          <cell r="L884" t="str">
            <v>Explanation</v>
          </cell>
        </row>
        <row r="886">
          <cell r="D886" t="str">
            <v>Current Ratio = CA/CL</v>
          </cell>
          <cell r="E886">
            <v>1.3157894736842106</v>
          </cell>
          <cell r="F886">
            <v>1.3157894736842106</v>
          </cell>
          <cell r="G886">
            <v>1.3519767839356225</v>
          </cell>
          <cell r="H886">
            <v>1.4285104559670261</v>
          </cell>
          <cell r="I886">
            <v>1.5572811414531134</v>
          </cell>
          <cell r="J886">
            <v>1.7637624161804846</v>
          </cell>
          <cell r="K886" t="str">
            <v xml:space="preserve">   CL= A/P + Other Misc. Liab + Revolver</v>
          </cell>
        </row>
        <row r="887">
          <cell r="D887" t="str">
            <v>Quick Ratio =(CA-Inventory)/CL</v>
          </cell>
          <cell r="E887">
            <v>0.52631578947368418</v>
          </cell>
          <cell r="F887">
            <v>0.52631578947368418</v>
          </cell>
          <cell r="G887">
            <v>0.54079071357424902</v>
          </cell>
          <cell r="H887">
            <v>0.57140418238681046</v>
          </cell>
          <cell r="I887">
            <v>0.62291245658124528</v>
          </cell>
          <cell r="J887">
            <v>0.70550496647219385</v>
          </cell>
          <cell r="K887" t="str">
            <v xml:space="preserve">   CA = Cash + A/R + Inventory + Other Misc. Assets</v>
          </cell>
        </row>
        <row r="888">
          <cell r="D888" t="str">
            <v>All Obligations / Equity</v>
          </cell>
          <cell r="E888">
            <v>3.2317360700204287</v>
          </cell>
          <cell r="F888">
            <v>2.6980340340158766</v>
          </cell>
          <cell r="G888">
            <v>2.1192300223689871</v>
          </cell>
          <cell r="H888">
            <v>1.5458078952156873</v>
          </cell>
          <cell r="I888">
            <v>1.0159035377670227</v>
          </cell>
          <cell r="J888">
            <v>0.55115245237821087</v>
          </cell>
          <cell r="K888" t="str">
            <v xml:space="preserve">   Sr. Debt = Revolver + Term + Over Adv.+ CapX</v>
          </cell>
        </row>
        <row r="889">
          <cell r="D889" t="str">
            <v>Sr. Debt / EBITDA</v>
          </cell>
          <cell r="E889">
            <v>2.1866666666666665</v>
          </cell>
          <cell r="F889">
            <v>1.9926984126984126</v>
          </cell>
          <cell r="G889">
            <v>1.7626713521769812</v>
          </cell>
          <cell r="H889">
            <v>1.4986984916203847</v>
          </cell>
          <cell r="I889">
            <v>1.2028250690166407</v>
          </cell>
          <cell r="J889">
            <v>0.87696516357814702</v>
          </cell>
          <cell r="K889" t="str">
            <v xml:space="preserve">   Total Debt = Sr. Debt + Gap (Seller) + Mezz</v>
          </cell>
        </row>
        <row r="890">
          <cell r="D890" t="str">
            <v>(Sr. Debt+Mezz) / EBITDA</v>
          </cell>
          <cell r="E890">
            <v>2.1866666666666665</v>
          </cell>
          <cell r="F890">
            <v>1.9926984126984126</v>
          </cell>
          <cell r="G890">
            <v>1.7626713521769812</v>
          </cell>
          <cell r="H890">
            <v>1.4986984916203847</v>
          </cell>
          <cell r="I890">
            <v>1.2028250690166407</v>
          </cell>
          <cell r="J890">
            <v>0.87696516357814702</v>
          </cell>
          <cell r="K890" t="str">
            <v xml:space="preserve">   All Obligations = Total Debt + Non Comp + Conslt.+ PG</v>
          </cell>
        </row>
        <row r="891">
          <cell r="D891" t="str">
            <v>Total Debt / EBITDA</v>
          </cell>
          <cell r="E891">
            <v>3.814473464602651</v>
          </cell>
          <cell r="F891">
            <v>3.2329321635067818</v>
          </cell>
          <cell r="G891">
            <v>2.6485526027543882</v>
          </cell>
          <cell r="H891">
            <v>2.061162777701278</v>
          </cell>
          <cell r="I891">
            <v>1.470665205245637</v>
          </cell>
          <cell r="J891">
            <v>0.87696516357814702</v>
          </cell>
          <cell r="L891" t="str">
            <v>PG = Personal Goodwill</v>
          </cell>
        </row>
        <row r="892">
          <cell r="D892" t="str">
            <v>All Obligations / EBITDA</v>
          </cell>
          <cell r="E892">
            <v>3.814473464602651</v>
          </cell>
          <cell r="F892">
            <v>3.2329321635067818</v>
          </cell>
          <cell r="G892">
            <v>2.6485526027543882</v>
          </cell>
          <cell r="H892">
            <v>2.061162777701278</v>
          </cell>
          <cell r="I892">
            <v>1.470665205245637</v>
          </cell>
          <cell r="J892">
            <v>0.87696516357814702</v>
          </cell>
        </row>
        <row r="920">
          <cell r="A920" t="str">
            <v>1. Output: Special Error: BVX® has encountered difficulties trying find an optimal solution. Please, refer to User Manual.</v>
          </cell>
        </row>
        <row r="953">
          <cell r="A953" t="str">
            <v>Prepared for:</v>
          </cell>
          <cell r="B953" t="str">
            <v>Mr. Client</v>
          </cell>
          <cell r="F953" t="str">
            <v>Earn-out Inputs</v>
          </cell>
          <cell r="K953">
            <v>44412.60115613426</v>
          </cell>
        </row>
        <row r="954">
          <cell r="A954" t="str">
            <v>Company:</v>
          </cell>
          <cell r="B954" t="str">
            <v>Best Business, Inc.</v>
          </cell>
          <cell r="E954" t="str">
            <v>Preparer:</v>
          </cell>
          <cell r="F954" t="str">
            <v>Mr. Professional</v>
          </cell>
          <cell r="H954" t="str">
            <v>Prepared by:</v>
          </cell>
          <cell r="I954" t="str">
            <v>Illinois Corporate Investments Inc.</v>
          </cell>
        </row>
        <row r="956">
          <cell r="A956" t="str">
            <v>No</v>
          </cell>
          <cell r="E956" t="str">
            <v>Year0</v>
          </cell>
          <cell r="F956" t="str">
            <v>Year1</v>
          </cell>
          <cell r="G956" t="str">
            <v>Year2</v>
          </cell>
          <cell r="H956" t="str">
            <v>Year3</v>
          </cell>
          <cell r="I956" t="str">
            <v>Year4</v>
          </cell>
          <cell r="J956" t="str">
            <v>Year5</v>
          </cell>
        </row>
        <row r="958">
          <cell r="A958">
            <v>1</v>
          </cell>
          <cell r="F958" t="str">
            <v>Earn-out Criteria:</v>
          </cell>
          <cell r="G958" t="str">
            <v>Total Sales</v>
          </cell>
        </row>
        <row r="959">
          <cell r="A959">
            <v>2</v>
          </cell>
          <cell r="F959" t="str">
            <v>Earn-out Treatment:</v>
          </cell>
          <cell r="G959" t="str">
            <v>Expense</v>
          </cell>
        </row>
        <row r="961">
          <cell r="D961" t="str">
            <v>n/a</v>
          </cell>
          <cell r="E961">
            <v>2000</v>
          </cell>
          <cell r="F961">
            <v>2200</v>
          </cell>
          <cell r="G961">
            <v>2400</v>
          </cell>
          <cell r="H961">
            <v>2650</v>
          </cell>
          <cell r="I961">
            <v>2800</v>
          </cell>
          <cell r="J961">
            <v>3000</v>
          </cell>
        </row>
        <row r="962">
          <cell r="D962" t="str">
            <v/>
          </cell>
          <cell r="E962" t="str">
            <v>n/a</v>
          </cell>
          <cell r="F962">
            <v>0.1</v>
          </cell>
          <cell r="G962">
            <v>0.1</v>
          </cell>
          <cell r="H962">
            <v>0.1</v>
          </cell>
          <cell r="I962">
            <v>0.1</v>
          </cell>
          <cell r="J962">
            <v>0.1</v>
          </cell>
        </row>
        <row r="964">
          <cell r="D964" t="str">
            <v>n/a</v>
          </cell>
          <cell r="E964" t="str">
            <v>0</v>
          </cell>
          <cell r="F964" t="str">
            <v>0</v>
          </cell>
          <cell r="G964" t="str">
            <v>0</v>
          </cell>
          <cell r="H964" t="str">
            <v>0</v>
          </cell>
          <cell r="I964" t="str">
            <v>0</v>
          </cell>
          <cell r="J964" t="str">
            <v>0</v>
          </cell>
        </row>
        <row r="965">
          <cell r="D965" t="str">
            <v>n/a</v>
          </cell>
          <cell r="E965" t="str">
            <v>n/a</v>
          </cell>
          <cell r="F965">
            <v>0</v>
          </cell>
          <cell r="G965">
            <v>0</v>
          </cell>
          <cell r="H965">
            <v>0</v>
          </cell>
          <cell r="I965">
            <v>0</v>
          </cell>
          <cell r="J965">
            <v>0</v>
          </cell>
        </row>
        <row r="966">
          <cell r="D966" t="str">
            <v>n/a</v>
          </cell>
          <cell r="E966">
            <v>0</v>
          </cell>
          <cell r="F966">
            <v>0</v>
          </cell>
          <cell r="G966">
            <v>0</v>
          </cell>
          <cell r="H966">
            <v>0</v>
          </cell>
          <cell r="I966">
            <v>0</v>
          </cell>
          <cell r="J966">
            <v>0</v>
          </cell>
        </row>
        <row r="967">
          <cell r="D967" t="str">
            <v>n/a</v>
          </cell>
          <cell r="E967" t="str">
            <v>n/a</v>
          </cell>
          <cell r="F967">
            <v>0</v>
          </cell>
          <cell r="G967">
            <v>0</v>
          </cell>
          <cell r="H967">
            <v>0</v>
          </cell>
          <cell r="I967">
            <v>0</v>
          </cell>
          <cell r="J967">
            <v>0</v>
          </cell>
        </row>
        <row r="969">
          <cell r="D969" t="str">
            <v>X = Total Sales</v>
          </cell>
          <cell r="E969" t="str">
            <v>5000</v>
          </cell>
          <cell r="F969">
            <v>5250</v>
          </cell>
          <cell r="G969">
            <v>5512.5</v>
          </cell>
          <cell r="H969">
            <v>5788.125</v>
          </cell>
          <cell r="I969">
            <v>6077.53125</v>
          </cell>
          <cell r="J969">
            <v>6381.4078125000005</v>
          </cell>
        </row>
        <row r="970">
          <cell r="D970" t="str">
            <v>Growth %</v>
          </cell>
          <cell r="E970" t="str">
            <v>NA</v>
          </cell>
          <cell r="F970">
            <v>0.05</v>
          </cell>
          <cell r="G970">
            <v>0.05</v>
          </cell>
          <cell r="H970">
            <v>0.05</v>
          </cell>
          <cell r="I970">
            <v>0.05</v>
          </cell>
          <cell r="J970">
            <v>5.0000000000000093E-2</v>
          </cell>
        </row>
        <row r="972">
          <cell r="E972" t="str">
            <v>Y = Pay Earn-out if Total Sales exceed</v>
          </cell>
          <cell r="F972">
            <v>5000</v>
          </cell>
          <cell r="G972">
            <v>5000</v>
          </cell>
          <cell r="H972">
            <v>5000</v>
          </cell>
          <cell r="I972">
            <v>5000</v>
          </cell>
          <cell r="J972">
            <v>5000</v>
          </cell>
        </row>
        <row r="973">
          <cell r="E973" t="str">
            <v>Basis for Earn-out (= X - Y)</v>
          </cell>
          <cell r="F973">
            <v>250</v>
          </cell>
          <cell r="G973">
            <v>512.5</v>
          </cell>
          <cell r="H973">
            <v>788.125</v>
          </cell>
          <cell r="I973">
            <v>1077.53125</v>
          </cell>
          <cell r="J973">
            <v>1381.4078125000005</v>
          </cell>
        </row>
        <row r="975">
          <cell r="E975" t="str">
            <v>% Earn-out on X - Y</v>
          </cell>
          <cell r="F975">
            <v>0.1</v>
          </cell>
          <cell r="G975">
            <v>0.1</v>
          </cell>
          <cell r="H975">
            <v>0.1</v>
          </cell>
          <cell r="I975">
            <v>0.1</v>
          </cell>
          <cell r="J975">
            <v>0.1</v>
          </cell>
        </row>
        <row r="976">
          <cell r="E976" t="str">
            <v>Annual Cap on Earn-out</v>
          </cell>
          <cell r="F976" t="str">
            <v>None</v>
          </cell>
          <cell r="G976" t="str">
            <v>None</v>
          </cell>
          <cell r="H976" t="str">
            <v>None</v>
          </cell>
          <cell r="I976" t="str">
            <v>None</v>
          </cell>
          <cell r="J976" t="str">
            <v>None</v>
          </cell>
        </row>
        <row r="977">
          <cell r="I977" t="str">
            <v>Cumulative Cap on Earn-out</v>
          </cell>
          <cell r="J977" t="str">
            <v>None</v>
          </cell>
        </row>
        <row r="979">
          <cell r="E979" t="str">
            <v>Earn-out Payments</v>
          </cell>
          <cell r="F979">
            <v>25</v>
          </cell>
          <cell r="G979">
            <v>51.25</v>
          </cell>
          <cell r="H979">
            <v>78.8125</v>
          </cell>
          <cell r="I979">
            <v>107.75312500000001</v>
          </cell>
          <cell r="J979">
            <v>138.14078125000006</v>
          </cell>
        </row>
        <row r="980">
          <cell r="E980" t="str">
            <v>Cumulative Earn-out</v>
          </cell>
          <cell r="J980">
            <v>400.9564062500001</v>
          </cell>
        </row>
        <row r="983">
          <cell r="F983">
            <v>0</v>
          </cell>
          <cell r="G983">
            <v>0</v>
          </cell>
          <cell r="H983">
            <v>0</v>
          </cell>
          <cell r="I983">
            <v>0</v>
          </cell>
          <cell r="J983">
            <v>0</v>
          </cell>
          <cell r="K983">
            <v>0</v>
          </cell>
        </row>
        <row r="984">
          <cell r="F984">
            <v>0</v>
          </cell>
          <cell r="G984">
            <v>0</v>
          </cell>
          <cell r="H984">
            <v>0</v>
          </cell>
          <cell r="I984">
            <v>0</v>
          </cell>
          <cell r="J984">
            <v>0</v>
          </cell>
        </row>
        <row r="1003">
          <cell r="A1003" t="str">
            <v>Prepared for:</v>
          </cell>
          <cell r="B1003" t="str">
            <v>Mr. Client</v>
          </cell>
          <cell r="F1003" t="str">
            <v>Seller's Cash Flow</v>
          </cell>
          <cell r="K1003">
            <v>44412.60115613426</v>
          </cell>
        </row>
        <row r="1004">
          <cell r="A1004" t="str">
            <v>Company:</v>
          </cell>
          <cell r="B1004" t="str">
            <v>Best Business, Inc.</v>
          </cell>
          <cell r="E1004" t="str">
            <v>Preparer:</v>
          </cell>
          <cell r="F1004" t="str">
            <v>Mr. Professional</v>
          </cell>
          <cell r="H1004" t="str">
            <v>Prepared by:</v>
          </cell>
          <cell r="I1004" t="str">
            <v>Illinois Corporate Investments Inc.</v>
          </cell>
        </row>
        <row r="1006">
          <cell r="E1006" t="str">
            <v>Year0</v>
          </cell>
          <cell r="F1006" t="str">
            <v>Year1</v>
          </cell>
          <cell r="G1006" t="str">
            <v>Year2</v>
          </cell>
          <cell r="H1006" t="str">
            <v>Year3</v>
          </cell>
          <cell r="I1006" t="str">
            <v>Year4</v>
          </cell>
          <cell r="J1006" t="str">
            <v>Year5</v>
          </cell>
        </row>
        <row r="1009">
          <cell r="L1009" t="str">
            <v>Seller CF: Yes/No</v>
          </cell>
        </row>
        <row r="1010">
          <cell r="D1010" t="str">
            <v>Cash Received at Closing</v>
          </cell>
          <cell r="E1010">
            <v>2451.785049534185</v>
          </cell>
          <cell r="L1010" t="str">
            <v>Y</v>
          </cell>
        </row>
        <row r="1011">
          <cell r="D1011" t="str">
            <v>Gap(Seller) Note Payment</v>
          </cell>
          <cell r="F1011">
            <v>244.17101969039769</v>
          </cell>
          <cell r="G1011">
            <v>244.17101969039769</v>
          </cell>
          <cell r="H1011">
            <v>244.17101969039769</v>
          </cell>
          <cell r="I1011">
            <v>244.17101969039769</v>
          </cell>
          <cell r="J1011">
            <v>244.17101969039774</v>
          </cell>
          <cell r="L1011" t="str">
            <v>Y</v>
          </cell>
        </row>
        <row r="1012">
          <cell r="D1012" t="str">
            <v>Add'l Gap(Seller) Note Paydown</v>
          </cell>
          <cell r="F1012">
            <v>0</v>
          </cell>
          <cell r="G1012">
            <v>0</v>
          </cell>
          <cell r="H1012">
            <v>0</v>
          </cell>
          <cell r="I1012">
            <v>0</v>
          </cell>
          <cell r="J1012">
            <v>0</v>
          </cell>
          <cell r="L1012" t="str">
            <v>Y</v>
          </cell>
        </row>
        <row r="1013">
          <cell r="D1013" t="str">
            <v>Interest Exp-Gap(Seller) Note</v>
          </cell>
          <cell r="F1013">
            <v>122.08550984519884</v>
          </cell>
          <cell r="G1013">
            <v>97.66840787615908</v>
          </cell>
          <cell r="H1013">
            <v>73.251305907119317</v>
          </cell>
          <cell r="I1013">
            <v>48.834203938079547</v>
          </cell>
          <cell r="J1013">
            <v>24.417101969039777</v>
          </cell>
          <cell r="L1013" t="str">
            <v>Y</v>
          </cell>
        </row>
        <row r="1014">
          <cell r="D1014" t="str">
            <v>Gap(Seller) Balloon Note Payment</v>
          </cell>
          <cell r="F1014">
            <v>0</v>
          </cell>
          <cell r="G1014">
            <v>0</v>
          </cell>
          <cell r="H1014">
            <v>0</v>
          </cell>
          <cell r="I1014">
            <v>0</v>
          </cell>
          <cell r="J1014">
            <v>0</v>
          </cell>
          <cell r="L1014" t="str">
            <v>Y</v>
          </cell>
        </row>
        <row r="1015">
          <cell r="D1015" t="str">
            <v>Interest Exp-Gap(Seller) Balloon Note</v>
          </cell>
          <cell r="F1015">
            <v>0</v>
          </cell>
          <cell r="G1015">
            <v>0</v>
          </cell>
          <cell r="H1015">
            <v>0</v>
          </cell>
          <cell r="I1015">
            <v>0</v>
          </cell>
          <cell r="J1015">
            <v>0</v>
          </cell>
          <cell r="L1015" t="str">
            <v>Y</v>
          </cell>
        </row>
        <row r="1016">
          <cell r="D1016" t="str">
            <v>Remaining Non-Compete Payment</v>
          </cell>
          <cell r="F1016">
            <v>0</v>
          </cell>
          <cell r="G1016">
            <v>0</v>
          </cell>
          <cell r="H1016">
            <v>0</v>
          </cell>
          <cell r="I1016">
            <v>0</v>
          </cell>
          <cell r="J1016">
            <v>0</v>
          </cell>
          <cell r="L1016" t="str">
            <v>Y</v>
          </cell>
        </row>
        <row r="1017">
          <cell r="D1017" t="str">
            <v>Interest Exp-Non-Compete</v>
          </cell>
          <cell r="F1017">
            <v>0</v>
          </cell>
          <cell r="G1017">
            <v>0</v>
          </cell>
          <cell r="H1017">
            <v>0</v>
          </cell>
          <cell r="I1017">
            <v>0</v>
          </cell>
          <cell r="J1017">
            <v>0</v>
          </cell>
          <cell r="L1017" t="str">
            <v>Y</v>
          </cell>
        </row>
        <row r="1018">
          <cell r="D1018" t="str">
            <v>Remaining Personal Goodwill Payment</v>
          </cell>
          <cell r="F1018">
            <v>0</v>
          </cell>
          <cell r="G1018">
            <v>0</v>
          </cell>
          <cell r="H1018">
            <v>0</v>
          </cell>
          <cell r="I1018">
            <v>0</v>
          </cell>
          <cell r="J1018">
            <v>0</v>
          </cell>
          <cell r="L1018" t="str">
            <v>Y</v>
          </cell>
        </row>
        <row r="1019">
          <cell r="D1019" t="str">
            <v>Interest Expense-Personal Goodwill</v>
          </cell>
          <cell r="F1019">
            <v>0</v>
          </cell>
          <cell r="G1019">
            <v>0</v>
          </cell>
          <cell r="H1019">
            <v>0</v>
          </cell>
          <cell r="I1019">
            <v>0</v>
          </cell>
          <cell r="J1019">
            <v>0</v>
          </cell>
        </row>
        <row r="1020">
          <cell r="D1020" t="str">
            <v>Remaining Consulting Payments</v>
          </cell>
          <cell r="F1020">
            <v>0</v>
          </cell>
          <cell r="G1020">
            <v>0</v>
          </cell>
          <cell r="H1020">
            <v>0</v>
          </cell>
          <cell r="I1020">
            <v>0</v>
          </cell>
          <cell r="J1020">
            <v>0</v>
          </cell>
          <cell r="L1020" t="str">
            <v>Y</v>
          </cell>
        </row>
        <row r="1021">
          <cell r="D1021" t="str">
            <v>Earn-out Payments: None</v>
          </cell>
          <cell r="E1021">
            <v>0</v>
          </cell>
          <cell r="F1021">
            <v>0</v>
          </cell>
          <cell r="G1021">
            <v>0</v>
          </cell>
          <cell r="H1021">
            <v>0</v>
          </cell>
          <cell r="I1021">
            <v>0</v>
          </cell>
          <cell r="J1021">
            <v>0</v>
          </cell>
          <cell r="L1021" t="str">
            <v>Y</v>
          </cell>
        </row>
        <row r="1022">
          <cell r="D1022" t="str">
            <v>Total Seller's Cash Flow</v>
          </cell>
          <cell r="E1022">
            <v>2451.785049534185</v>
          </cell>
          <cell r="F1022">
            <v>366.25652953559654</v>
          </cell>
          <cell r="G1022">
            <v>341.83942756655676</v>
          </cell>
          <cell r="H1022">
            <v>317.42232559751699</v>
          </cell>
          <cell r="I1022">
            <v>293.00522362847721</v>
          </cell>
          <cell r="J1022">
            <v>268.58812165943755</v>
          </cell>
          <cell r="K1022">
            <v>4038.8966775217705</v>
          </cell>
        </row>
        <row r="1023">
          <cell r="K1023" t="str">
            <v>Total</v>
          </cell>
        </row>
        <row r="1055">
          <cell r="C1055">
            <v>1</v>
          </cell>
        </row>
        <row r="1058">
          <cell r="C1058">
            <v>1</v>
          </cell>
          <cell r="G1058">
            <v>0.2</v>
          </cell>
          <cell r="H1058">
            <v>0.32</v>
          </cell>
          <cell r="I1058">
            <v>0.192</v>
          </cell>
          <cell r="J1058">
            <v>0.1152</v>
          </cell>
          <cell r="K1058">
            <v>0.1152</v>
          </cell>
        </row>
        <row r="1064">
          <cell r="C1064">
            <v>1</v>
          </cell>
          <cell r="G1064">
            <v>0.2</v>
          </cell>
          <cell r="H1064">
            <v>0.32</v>
          </cell>
          <cell r="I1064">
            <v>0.192</v>
          </cell>
          <cell r="J1064">
            <v>0.1152</v>
          </cell>
          <cell r="K1064">
            <v>0.1152</v>
          </cell>
        </row>
        <row r="1067">
          <cell r="C1067">
            <v>1</v>
          </cell>
        </row>
        <row r="1071">
          <cell r="C1071">
            <v>1</v>
          </cell>
        </row>
        <row r="1077">
          <cell r="C1077">
            <v>1</v>
          </cell>
        </row>
        <row r="1078">
          <cell r="J1078">
            <v>750</v>
          </cell>
        </row>
        <row r="1080">
          <cell r="C1080">
            <v>1</v>
          </cell>
        </row>
        <row r="1081">
          <cell r="J1081">
            <v>65</v>
          </cell>
        </row>
      </sheetData>
      <sheetData sheetId="2">
        <row r="44">
          <cell r="A44">
            <v>816414.83860721253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42"/>
      <sheetName val="Valuation 1"/>
      <sheetName val="Inputs 2"/>
      <sheetName val="Income 3"/>
      <sheetName val="CashFlow 5"/>
      <sheetName val="BalanceSheet 4"/>
      <sheetName val="ROI 6"/>
      <sheetName val="PrAllocation 7"/>
      <sheetName val="REFinancials 8"/>
      <sheetName val="FinRatios 9"/>
      <sheetName val="Depr 10"/>
      <sheetName val="25-Yr Val 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B456-6183-479C-89C8-0ED68EF1B324}">
  <sheetPr codeName="Sheet4312122">
    <pageSetUpPr autoPageBreaks="0" fitToPage="1"/>
  </sheetPr>
  <dimension ref="A1:N70"/>
  <sheetViews>
    <sheetView showGridLines="0" defaultGridColor="0" colorId="8" zoomScaleNormal="100" workbookViewId="0"/>
  </sheetViews>
  <sheetFormatPr defaultColWidth="10.53515625" defaultRowHeight="12" customHeight="1" x14ac:dyDescent="0.35"/>
  <cols>
    <col min="1" max="2" width="12.69140625" style="1" customWidth="1"/>
    <col min="3" max="3" width="10.53515625" style="1"/>
    <col min="4" max="4" width="10.765625" style="1" customWidth="1"/>
    <col min="5" max="5" width="11.3828125" style="1" customWidth="1"/>
    <col min="6" max="6" width="12.69140625" style="1" bestFit="1" customWidth="1"/>
    <col min="7" max="8" width="10.765625" style="1" customWidth="1"/>
    <col min="9" max="9" width="11" style="1" customWidth="1"/>
    <col min="10" max="10" width="11.921875" style="1" customWidth="1"/>
    <col min="11" max="11" width="11.3828125" style="1" customWidth="1"/>
    <col min="12" max="12" width="14.4609375" style="1" bestFit="1" customWidth="1"/>
    <col min="13" max="13" width="13.23046875" style="1" customWidth="1"/>
    <col min="14" max="14" width="10.3828125" style="1" customWidth="1"/>
    <col min="15" max="16384" width="10.53515625" style="1"/>
  </cols>
  <sheetData>
    <row r="1" spans="1:14" ht="6" customHeight="1" x14ac:dyDescent="0.35"/>
    <row r="2" spans="1:14" ht="18" customHeight="1" x14ac:dyDescent="0.5">
      <c r="A2" s="4" t="str">
        <f>[1]Blank42!A836</f>
        <v>Company:</v>
      </c>
      <c r="B2" s="238" t="str">
        <f>[1]Blank42!B836</f>
        <v>Best Business, Inc.</v>
      </c>
      <c r="D2" s="247"/>
      <c r="E2" s="247"/>
      <c r="F2" s="346" t="str">
        <f>[1]Blank42!F835</f>
        <v>Financial Ratios</v>
      </c>
      <c r="G2" s="247"/>
      <c r="H2" s="247"/>
      <c r="I2" s="247"/>
      <c r="J2" s="247"/>
    </row>
    <row r="3" spans="1:14" ht="15" customHeight="1" x14ac:dyDescent="0.35">
      <c r="A3" s="4" t="str">
        <f>[1]Blank42!A835</f>
        <v>Prepared for:</v>
      </c>
      <c r="B3" s="243" t="str">
        <f>[1]Blank42!B835</f>
        <v>Mr. Client</v>
      </c>
      <c r="D3" s="247"/>
      <c r="E3" s="271" t="str">
        <f>[1]Blank42!H836</f>
        <v>Prepared by:</v>
      </c>
      <c r="F3" s="272" t="str">
        <f>[1]Blank42!I836</f>
        <v>Illinois Corporate Investments Inc.</v>
      </c>
      <c r="G3" s="273"/>
      <c r="H3" s="245"/>
      <c r="I3" s="245"/>
      <c r="J3" s="271" t="str">
        <f>[1]Blank42!E836</f>
        <v>Preparer:</v>
      </c>
      <c r="K3" s="272" t="str">
        <f>[1]Blank42!F836</f>
        <v>Mr. Professional</v>
      </c>
      <c r="L3" s="247"/>
    </row>
    <row r="4" spans="1:14" ht="6" customHeight="1" x14ac:dyDescent="0.35">
      <c r="D4" s="247"/>
      <c r="G4" s="247"/>
      <c r="H4" s="347"/>
      <c r="I4" s="347"/>
      <c r="J4" s="247"/>
      <c r="K4" s="247"/>
      <c r="L4" s="247"/>
    </row>
    <row r="5" spans="1:14" ht="12" customHeight="1" x14ac:dyDescent="0.4">
      <c r="D5" s="247"/>
      <c r="E5" s="323"/>
      <c r="F5" s="348"/>
      <c r="G5" s="247"/>
      <c r="H5" s="247"/>
      <c r="I5" s="349"/>
      <c r="J5" s="247"/>
      <c r="K5" s="247"/>
      <c r="L5" s="248">
        <f ca="1">[1]Blank42!M835</f>
        <v>44412.60115613426</v>
      </c>
      <c r="M5" s="248"/>
      <c r="N5" s="4" t="s">
        <v>94</v>
      </c>
    </row>
    <row r="6" spans="1:14" ht="12" customHeight="1" x14ac:dyDescent="0.4">
      <c r="A6" s="151" t="str">
        <f>[1]Blank42!A838</f>
        <v>Definitions</v>
      </c>
      <c r="B6" s="139"/>
      <c r="C6" s="139"/>
      <c r="D6" s="350"/>
      <c r="E6" s="20"/>
      <c r="F6" s="20"/>
      <c r="G6" s="20"/>
      <c r="H6" s="20"/>
      <c r="I6" s="20"/>
      <c r="J6" s="20"/>
      <c r="K6" s="20"/>
      <c r="L6" s="269" t="str">
        <f ca="1">ROUND(A70,0)&amp;[1]Blank42!O11</f>
        <v>8164150</v>
      </c>
      <c r="M6" s="351" t="str">
        <f>[1]Blank42!$A$9</f>
        <v>BVX®</v>
      </c>
      <c r="N6" s="351"/>
    </row>
    <row r="7" spans="1:14" ht="3" customHeight="1" x14ac:dyDescent="0.35">
      <c r="A7" s="56">
        <f>[1]Blank42!A839</f>
        <v>0</v>
      </c>
      <c r="B7" s="56">
        <f>[1]Blank42!B839</f>
        <v>0</v>
      </c>
      <c r="C7" s="20">
        <f>[1]Blank42!C839</f>
        <v>0</v>
      </c>
      <c r="D7" s="56">
        <f>[1]Blank42!D839</f>
        <v>0</v>
      </c>
      <c r="E7" s="20">
        <f>[1]Blank42!E839</f>
        <v>0</v>
      </c>
      <c r="F7" s="20">
        <f>[1]Blank42!F839</f>
        <v>0</v>
      </c>
      <c r="G7" s="20">
        <f>[1]Blank42!G839</f>
        <v>0</v>
      </c>
      <c r="H7" s="20">
        <f>[1]Blank42!H839</f>
        <v>0</v>
      </c>
      <c r="I7" s="20">
        <f>[1]Blank42!I839</f>
        <v>0</v>
      </c>
      <c r="J7" s="20">
        <f>[1]Blank42!J839</f>
        <v>0</v>
      </c>
      <c r="K7" s="257">
        <f>[1]Blank42!K839</f>
        <v>0</v>
      </c>
      <c r="L7" s="257"/>
      <c r="M7" s="257"/>
      <c r="N7" s="257"/>
    </row>
    <row r="8" spans="1:14" ht="9.75" customHeight="1" x14ac:dyDescent="0.35">
      <c r="A8" s="56"/>
      <c r="B8" s="41"/>
      <c r="C8" s="41"/>
      <c r="D8" s="352" t="str">
        <f>[1]Blank42!D840</f>
        <v>Cap Ex</v>
      </c>
      <c r="E8" s="67"/>
      <c r="F8" s="352" t="str">
        <f>[1]Blank42!F840</f>
        <v>Depr. &amp;</v>
      </c>
      <c r="G8" s="352" t="str">
        <f>[1]Blank42!G840</f>
        <v>Working Cap</v>
      </c>
      <c r="H8" s="352" t="str">
        <f>[1]Blank42!H840</f>
        <v>S Tax Dist</v>
      </c>
      <c r="I8" s="314" t="str">
        <f>[1]Blank42!I840</f>
        <v>Interest</v>
      </c>
      <c r="J8" s="20"/>
      <c r="K8" s="257"/>
      <c r="L8" s="257"/>
      <c r="M8" s="257"/>
      <c r="N8" s="257"/>
    </row>
    <row r="9" spans="1:14" ht="9.75" customHeight="1" x14ac:dyDescent="0.35">
      <c r="A9" s="353" t="str">
        <f>[1]Blank42!A841</f>
        <v>Numerator</v>
      </c>
      <c r="B9" s="353"/>
      <c r="C9" s="354" t="str">
        <f>[1]Blank42!C841</f>
        <v>EBITDA</v>
      </c>
      <c r="D9" s="354" t="str">
        <f>[1]Blank42!D841</f>
        <v>(deduct)</v>
      </c>
      <c r="E9" s="354" t="str">
        <f>[1]Blank42!E841</f>
        <v>Net Income</v>
      </c>
      <c r="F9" s="354" t="str">
        <f>[1]Blank42!F841</f>
        <v>Amortization</v>
      </c>
      <c r="G9" s="354" t="str">
        <f>[1]Blank42!G841</f>
        <v>(deduct)</v>
      </c>
      <c r="H9" s="354" t="str">
        <f>[1]Blank42!H841</f>
        <v>(deduct)</v>
      </c>
      <c r="I9" s="354" t="str">
        <f>[1]Blank42!I841</f>
        <v>on Cash</v>
      </c>
      <c r="J9" s="20"/>
      <c r="K9" s="257"/>
      <c r="L9" s="257"/>
      <c r="M9" s="257"/>
      <c r="N9" s="257"/>
    </row>
    <row r="10" spans="1:14" ht="3" customHeight="1" x14ac:dyDescent="0.35">
      <c r="A10" s="173">
        <f>[1]Blank42!A842</f>
        <v>0</v>
      </c>
      <c r="B10" s="352">
        <f>[1]Blank42!B842</f>
        <v>0</v>
      </c>
      <c r="C10" s="352">
        <f>[1]Blank42!C842</f>
        <v>0</v>
      </c>
      <c r="D10" s="352">
        <f>[1]Blank42!D842</f>
        <v>0</v>
      </c>
      <c r="E10" s="352">
        <f>[1]Blank42!E842</f>
        <v>0</v>
      </c>
      <c r="F10" s="352">
        <f>[1]Blank42!F842</f>
        <v>0</v>
      </c>
      <c r="G10" s="352">
        <f>[1]Blank42!G842</f>
        <v>0</v>
      </c>
      <c r="H10" s="352">
        <f>[1]Blank42!H842</f>
        <v>0</v>
      </c>
      <c r="I10" s="352">
        <f>[1]Blank42!I842</f>
        <v>0</v>
      </c>
      <c r="J10" s="20"/>
      <c r="K10" s="257"/>
      <c r="L10" s="257"/>
      <c r="M10" s="257"/>
      <c r="N10" s="257"/>
    </row>
    <row r="11" spans="1:14" ht="9" customHeight="1" x14ac:dyDescent="0.35">
      <c r="A11" s="352" t="str">
        <f>[1]Blank42!A843</f>
        <v>N1</v>
      </c>
      <c r="B11" s="355" t="str">
        <f>[1]Blank42!B843</f>
        <v>EBITDA</v>
      </c>
      <c r="C11" s="356" t="str">
        <f>IF([1]Blank42!C843=0,"",[1]Blank42!C843)</f>
        <v>x</v>
      </c>
      <c r="D11" s="356" t="str">
        <f>IF([1]Blank42!D843=0,"",[1]Blank42!D843)</f>
        <v/>
      </c>
      <c r="E11" s="356" t="str">
        <f>IF([1]Blank42!E843=0,"",[1]Blank42!E843)</f>
        <v/>
      </c>
      <c r="F11" s="356" t="str">
        <f>IF([1]Blank42!F843=0,"",[1]Blank42!F843)</f>
        <v/>
      </c>
      <c r="G11" s="356" t="str">
        <f>IF([1]Blank42!G843=0,"",[1]Blank42!G843)</f>
        <v/>
      </c>
      <c r="H11" s="356" t="str">
        <f>IF([1]Blank42!H843=0,"",[1]Blank42!H843)</f>
        <v/>
      </c>
      <c r="I11" s="356" t="str">
        <f>IF([1]Blank42!I843=0,"",[1]Blank42!I843)</f>
        <v/>
      </c>
      <c r="J11" s="20"/>
      <c r="K11" s="257"/>
      <c r="L11" s="257"/>
      <c r="M11" s="257"/>
      <c r="N11" s="257"/>
    </row>
    <row r="12" spans="1:14" ht="9" customHeight="1" x14ac:dyDescent="0.35">
      <c r="A12" s="352" t="str">
        <f>[1]Blank42!A844</f>
        <v>N2</v>
      </c>
      <c r="B12" s="355" t="str">
        <f>[1]Blank42!B844</f>
        <v>Gross FCF</v>
      </c>
      <c r="C12" s="356" t="str">
        <f>IF([1]Blank42!C844=0,"",[1]Blank42!C844)</f>
        <v/>
      </c>
      <c r="D12" s="356" t="str">
        <f>IF([1]Blank42!D844=0,"",[1]Blank42!D844)</f>
        <v/>
      </c>
      <c r="E12" s="356" t="str">
        <f>IF([1]Blank42!E844=0,"",[1]Blank42!E844)</f>
        <v>x</v>
      </c>
      <c r="F12" s="356" t="str">
        <f>IF([1]Blank42!F844=0,"",[1]Blank42!F844)</f>
        <v>x</v>
      </c>
      <c r="G12" s="356" t="str">
        <f>IF([1]Blank42!G844=0,"",[1]Blank42!G844)</f>
        <v/>
      </c>
      <c r="H12" s="356" t="str">
        <f>IF([1]Blank42!H844=0,"",[1]Blank42!H844)</f>
        <v>x</v>
      </c>
      <c r="I12" s="356" t="str">
        <f>IF([1]Blank42!I844=0,"",[1]Blank42!I844)</f>
        <v/>
      </c>
      <c r="J12" s="357"/>
      <c r="K12" s="358"/>
      <c r="L12" s="20"/>
      <c r="M12" s="20"/>
      <c r="N12" s="20"/>
    </row>
    <row r="13" spans="1:14" ht="9" customHeight="1" x14ac:dyDescent="0.35">
      <c r="A13" s="352" t="str">
        <f>[1]Blank42!A845</f>
        <v>N3</v>
      </c>
      <c r="B13" s="359" t="str">
        <f>[1]Blank42!B845</f>
        <v>Enter N3 Label</v>
      </c>
      <c r="C13" s="360" t="str">
        <f>IF([1]Blank42!C845=0,"",[1]Blank42!C845)</f>
        <v/>
      </c>
      <c r="D13" s="360" t="str">
        <f>IF([1]Blank42!D845=0,"",[1]Blank42!D845)</f>
        <v/>
      </c>
      <c r="E13" s="360" t="str">
        <f>IF([1]Blank42!E845=0,"",[1]Blank42!E845)</f>
        <v/>
      </c>
      <c r="F13" s="360" t="str">
        <f>IF([1]Blank42!F845=0,"",[1]Blank42!F845)</f>
        <v/>
      </c>
      <c r="G13" s="360" t="str">
        <f>IF([1]Blank42!G845=0,"",[1]Blank42!G845)</f>
        <v/>
      </c>
      <c r="H13" s="360" t="str">
        <f>IF([1]Blank42!H845=0,"",[1]Blank42!H845)</f>
        <v/>
      </c>
      <c r="I13" s="360" t="str">
        <f>IF([1]Blank42!I845=0,"",[1]Blank42!I845)</f>
        <v/>
      </c>
      <c r="J13" s="361"/>
      <c r="K13" s="362"/>
      <c r="L13" s="20"/>
      <c r="M13" s="20"/>
      <c r="N13" s="20"/>
    </row>
    <row r="14" spans="1:14" ht="9" customHeight="1" x14ac:dyDescent="0.35">
      <c r="A14" s="352" t="str">
        <f>[1]Blank42!A846</f>
        <v>N4</v>
      </c>
      <c r="B14" s="359" t="str">
        <f>[1]Blank42!B846</f>
        <v>Enter N4 Label</v>
      </c>
      <c r="C14" s="360" t="str">
        <f>IF([1]Blank42!C846=0,"",[1]Blank42!C846)</f>
        <v/>
      </c>
      <c r="D14" s="360" t="str">
        <f>IF([1]Blank42!D846=0,"",[1]Blank42!D846)</f>
        <v/>
      </c>
      <c r="E14" s="360" t="str">
        <f>IF([1]Blank42!E846=0,"",[1]Blank42!E846)</f>
        <v/>
      </c>
      <c r="F14" s="360" t="str">
        <f>IF([1]Blank42!F846=0,"",[1]Blank42!F846)</f>
        <v/>
      </c>
      <c r="G14" s="360" t="str">
        <f>IF([1]Blank42!G846=0,"",[1]Blank42!G846)</f>
        <v/>
      </c>
      <c r="H14" s="360" t="str">
        <f>IF([1]Blank42!H846=0,"",[1]Blank42!H846)</f>
        <v/>
      </c>
      <c r="I14" s="360" t="str">
        <f>IF([1]Blank42!I846=0,"",[1]Blank42!I846)</f>
        <v/>
      </c>
      <c r="J14" s="363"/>
      <c r="K14" s="362"/>
      <c r="L14" s="20"/>
      <c r="M14" s="20"/>
      <c r="N14" s="20"/>
    </row>
    <row r="15" spans="1:14" ht="9" customHeight="1" x14ac:dyDescent="0.35">
      <c r="A15" s="352" t="str">
        <f>[1]Blank42!A847</f>
        <v>N5</v>
      </c>
      <c r="B15" s="359" t="str">
        <f>[1]Blank42!B847</f>
        <v>Enter N5 Label</v>
      </c>
      <c r="C15" s="360" t="str">
        <f>IF([1]Blank42!C847=0,"",[1]Blank42!C847)</f>
        <v/>
      </c>
      <c r="D15" s="360" t="str">
        <f>IF([1]Blank42!D847=0,"",[1]Blank42!D847)</f>
        <v/>
      </c>
      <c r="E15" s="360" t="str">
        <f>IF([1]Blank42!E847=0,"",[1]Blank42!E847)</f>
        <v/>
      </c>
      <c r="F15" s="360" t="str">
        <f>IF([1]Blank42!F847=0,"",[1]Blank42!F847)</f>
        <v/>
      </c>
      <c r="G15" s="360" t="str">
        <f>IF([1]Blank42!G847=0,"",[1]Blank42!G847)</f>
        <v/>
      </c>
      <c r="H15" s="360" t="str">
        <f>IF([1]Blank42!H847=0,"",[1]Blank42!H847)</f>
        <v/>
      </c>
      <c r="I15" s="360" t="str">
        <f>IF([1]Blank42!I847=0,"",[1]Blank42!I847)</f>
        <v/>
      </c>
      <c r="J15" s="358"/>
      <c r="K15" s="358"/>
      <c r="L15" s="20"/>
      <c r="M15" s="20"/>
      <c r="N15" s="20"/>
    </row>
    <row r="16" spans="1:14" ht="9" customHeight="1" x14ac:dyDescent="0.35">
      <c r="A16" s="352" t="str">
        <f>[1]Blank42!A848</f>
        <v>N6</v>
      </c>
      <c r="B16" s="359" t="str">
        <f>[1]Blank42!B848</f>
        <v>Enter N6 Label</v>
      </c>
      <c r="C16" s="360" t="str">
        <f>IF([1]Blank42!C848=0,"",[1]Blank42!C848)</f>
        <v/>
      </c>
      <c r="D16" s="360" t="str">
        <f>IF([1]Blank42!D848=0,"",[1]Blank42!D848)</f>
        <v/>
      </c>
      <c r="E16" s="360" t="str">
        <f>IF([1]Blank42!E848=0,"",[1]Blank42!E848)</f>
        <v/>
      </c>
      <c r="F16" s="360" t="str">
        <f>IF([1]Blank42!F848=0,"",[1]Blank42!F848)</f>
        <v/>
      </c>
      <c r="G16" s="360" t="str">
        <f>IF([1]Blank42!G848=0,"",[1]Blank42!G848)</f>
        <v/>
      </c>
      <c r="H16" s="360" t="str">
        <f>IF([1]Blank42!H848=0,"",[1]Blank42!H848)</f>
        <v/>
      </c>
      <c r="I16" s="360" t="str">
        <f>IF([1]Blank42!I848=0,"",[1]Blank42!I848)</f>
        <v/>
      </c>
      <c r="J16" s="257"/>
      <c r="K16" s="257"/>
      <c r="L16" s="20"/>
      <c r="M16" s="20"/>
      <c r="N16" s="20"/>
    </row>
    <row r="17" spans="1:14" ht="6" customHeight="1" x14ac:dyDescent="0.35">
      <c r="A17" s="173"/>
      <c r="B17" s="364"/>
      <c r="C17" s="364"/>
      <c r="D17" s="364"/>
      <c r="E17" s="364"/>
      <c r="F17" s="364"/>
      <c r="G17" s="364"/>
      <c r="H17" s="364"/>
      <c r="I17" s="20"/>
      <c r="J17" s="257"/>
      <c r="K17" s="257"/>
      <c r="L17" s="20"/>
      <c r="M17" s="20"/>
      <c r="N17" s="20"/>
    </row>
    <row r="18" spans="1:14" ht="9.75" customHeight="1" x14ac:dyDescent="0.35">
      <c r="A18" s="173"/>
      <c r="B18" s="352"/>
      <c r="C18" s="352"/>
      <c r="D18" s="352"/>
      <c r="E18" s="352" t="str">
        <f>[1]Blank42!E850</f>
        <v>Gap (Seller)</v>
      </c>
      <c r="F18" s="352" t="str">
        <f>[1]Blank42!F850</f>
        <v>Gap (Seller)</v>
      </c>
      <c r="G18" s="352"/>
      <c r="H18" s="352"/>
      <c r="I18" s="352" t="str">
        <f>[1]Blank42!I850</f>
        <v>Personal</v>
      </c>
      <c r="J18" s="352" t="str">
        <f>[1]Blank42!J850</f>
        <v>Over Adv.</v>
      </c>
      <c r="K18" s="352" t="str">
        <f>[1]Blank42!K850</f>
        <v>Mezzanine</v>
      </c>
      <c r="L18" s="352" t="str">
        <f>[1]Blank42!L850</f>
        <v>New Cap Ex</v>
      </c>
      <c r="M18" s="352"/>
      <c r="N18" s="352"/>
    </row>
    <row r="19" spans="1:14" ht="9.75" customHeight="1" x14ac:dyDescent="0.35">
      <c r="A19" s="353" t="str">
        <f>[1]Blank42!A851</f>
        <v>Denominator</v>
      </c>
      <c r="B19" s="353"/>
      <c r="C19" s="354" t="str">
        <f>[1]Blank42!C851</f>
        <v>Revolver</v>
      </c>
      <c r="D19" s="354" t="str">
        <f>[1]Blank42!D851</f>
        <v>Term Loan</v>
      </c>
      <c r="E19" s="354" t="str">
        <f>[1]Blank42!E851</f>
        <v>Note</v>
      </c>
      <c r="F19" s="354" t="str">
        <f>[1]Blank42!F851</f>
        <v>Balloon Note</v>
      </c>
      <c r="G19" s="354" t="str">
        <f>[1]Blank42!G851</f>
        <v>Non-Compete</v>
      </c>
      <c r="H19" s="354" t="str">
        <f>[1]Blank42!H851</f>
        <v>Consulting</v>
      </c>
      <c r="I19" s="354" t="str">
        <f>[1]Blank42!I851</f>
        <v>Goodwill (PG)</v>
      </c>
      <c r="J19" s="354" t="str">
        <f>[1]Blank42!J851</f>
        <v>Loan</v>
      </c>
      <c r="K19" s="354" t="str">
        <f>[1]Blank42!K851</f>
        <v>Financing</v>
      </c>
      <c r="L19" s="354" t="str">
        <f>[1]Blank42!L851</f>
        <v>Loan</v>
      </c>
      <c r="M19" s="354" t="str">
        <f>[1]Blank42!M851</f>
        <v>Earn-Out</v>
      </c>
      <c r="N19" s="20"/>
    </row>
    <row r="20" spans="1:14" ht="3" customHeight="1" x14ac:dyDescent="0.35">
      <c r="A20" s="173">
        <f>[1]Blank42!A852</f>
        <v>0</v>
      </c>
      <c r="B20" s="352">
        <f>[1]Blank42!B852</f>
        <v>0</v>
      </c>
      <c r="C20" s="352">
        <f>[1]Blank42!C852</f>
        <v>0</v>
      </c>
      <c r="D20" s="352">
        <f>[1]Blank42!D852</f>
        <v>0</v>
      </c>
      <c r="E20" s="352">
        <f>[1]Blank42!E852</f>
        <v>0</v>
      </c>
      <c r="F20" s="352">
        <f>[1]Blank42!F852</f>
        <v>0</v>
      </c>
      <c r="G20" s="352">
        <f>[1]Blank42!G852</f>
        <v>0</v>
      </c>
      <c r="H20" s="352">
        <f>[1]Blank42!H852</f>
        <v>0</v>
      </c>
      <c r="I20" s="352">
        <f>[1]Blank42!I852</f>
        <v>0</v>
      </c>
      <c r="J20" s="352">
        <f>[1]Blank42!J852</f>
        <v>0</v>
      </c>
      <c r="K20" s="20">
        <f>[1]Blank42!K852</f>
        <v>0</v>
      </c>
      <c r="L20" s="257">
        <f>[1]Blank42!L852</f>
        <v>0</v>
      </c>
      <c r="M20" s="257">
        <f>[1]Blank42!M852</f>
        <v>0</v>
      </c>
      <c r="N20" s="20"/>
    </row>
    <row r="21" spans="1:14" ht="9" customHeight="1" x14ac:dyDescent="0.35">
      <c r="A21" s="352" t="str">
        <f>[1]Blank42!A853</f>
        <v>D1</v>
      </c>
      <c r="B21" s="355" t="str">
        <f>[1]Blank42!B853</f>
        <v xml:space="preserve">Sr. Debt </v>
      </c>
      <c r="C21" s="356" t="str">
        <f>IF([1]Blank42!C853=0,"",[1]Blank42!C853)</f>
        <v>x</v>
      </c>
      <c r="D21" s="356" t="str">
        <f>IF([1]Blank42!D853=0,"",[1]Blank42!D853)</f>
        <v>x</v>
      </c>
      <c r="E21" s="356" t="str">
        <f>IF([1]Blank42!E853=0,"",[1]Blank42!E853)</f>
        <v/>
      </c>
      <c r="F21" s="356" t="str">
        <f>IF([1]Blank42!F853=0,"",[1]Blank42!F853)</f>
        <v/>
      </c>
      <c r="G21" s="356" t="str">
        <f>IF([1]Blank42!G853=0,"",[1]Blank42!G853)</f>
        <v/>
      </c>
      <c r="H21" s="356" t="str">
        <f>IF([1]Blank42!H853=0,"",[1]Blank42!H853)</f>
        <v/>
      </c>
      <c r="I21" s="356" t="str">
        <f>IF([1]Blank42!I853=0,"",[1]Blank42!I853)</f>
        <v/>
      </c>
      <c r="J21" s="356" t="str">
        <f>IF([1]Blank42!J853=0,"",[1]Blank42!J853)</f>
        <v>x</v>
      </c>
      <c r="K21" s="356" t="str">
        <f>IF([1]Blank42!K853=0,"",[1]Blank42!K853)</f>
        <v/>
      </c>
      <c r="L21" s="356" t="str">
        <f>IF([1]Blank42!L853=0,"",[1]Blank42!L853)</f>
        <v>x</v>
      </c>
      <c r="M21" s="356" t="str">
        <f>IF([1]Blank42!M853=0,"",[1]Blank42!M853)</f>
        <v/>
      </c>
      <c r="N21" s="20"/>
    </row>
    <row r="22" spans="1:14" ht="9" customHeight="1" x14ac:dyDescent="0.4">
      <c r="A22" s="352" t="str">
        <f>[1]Blank42!A854</f>
        <v>D2</v>
      </c>
      <c r="B22" s="355" t="str">
        <f>[1]Blank42!B854</f>
        <v xml:space="preserve">Total Debt </v>
      </c>
      <c r="C22" s="356" t="str">
        <f>IF([1]Blank42!C854=0,"",[1]Blank42!C854)</f>
        <v>x</v>
      </c>
      <c r="D22" s="356" t="str">
        <f>IF([1]Blank42!D854=0,"",[1]Blank42!D854)</f>
        <v>x</v>
      </c>
      <c r="E22" s="356" t="str">
        <f>IF([1]Blank42!E854=0,"",[1]Blank42!E854)</f>
        <v>x</v>
      </c>
      <c r="F22" s="356" t="str">
        <f>IF([1]Blank42!F854=0,"",[1]Blank42!F854)</f>
        <v>x</v>
      </c>
      <c r="G22" s="356" t="str">
        <f>IF([1]Blank42!G854=0,"",[1]Blank42!G854)</f>
        <v/>
      </c>
      <c r="H22" s="356" t="str">
        <f>IF([1]Blank42!H854=0,"",[1]Blank42!H854)</f>
        <v/>
      </c>
      <c r="I22" s="356" t="str">
        <f>IF([1]Blank42!I854=0,"",[1]Blank42!I854)</f>
        <v/>
      </c>
      <c r="J22" s="356" t="str">
        <f>IF([1]Blank42!J854=0,"",[1]Blank42!J854)</f>
        <v>x</v>
      </c>
      <c r="K22" s="356" t="str">
        <f>IF([1]Blank42!K854=0,"",[1]Blank42!K854)</f>
        <v>x</v>
      </c>
      <c r="L22" s="356" t="str">
        <f>IF([1]Blank42!L854=0,"",[1]Blank42!L854)</f>
        <v>x</v>
      </c>
      <c r="M22" s="356" t="str">
        <f>IF([1]Blank42!M854=0,"",[1]Blank42!M854)</f>
        <v/>
      </c>
      <c r="N22" s="365"/>
    </row>
    <row r="23" spans="1:14" ht="9" customHeight="1" x14ac:dyDescent="0.4">
      <c r="A23" s="352" t="str">
        <f>[1]Blank42!A855</f>
        <v>D3</v>
      </c>
      <c r="B23" s="355" t="str">
        <f>[1]Blank42!B855</f>
        <v>All Obligations</v>
      </c>
      <c r="C23" s="356" t="str">
        <f>IF([1]Blank42!C855=0,"",[1]Blank42!C855)</f>
        <v>x</v>
      </c>
      <c r="D23" s="356" t="str">
        <f>IF([1]Blank42!D855=0,"",[1]Blank42!D855)</f>
        <v>x</v>
      </c>
      <c r="E23" s="356" t="str">
        <f>IF([1]Blank42!E855=0,"",[1]Blank42!E855)</f>
        <v>x</v>
      </c>
      <c r="F23" s="356" t="str">
        <f>IF([1]Blank42!F855=0,"",[1]Blank42!F855)</f>
        <v>x</v>
      </c>
      <c r="G23" s="356" t="str">
        <f>IF([1]Blank42!G855=0,"",[1]Blank42!G855)</f>
        <v>x</v>
      </c>
      <c r="H23" s="356" t="str">
        <f>IF([1]Blank42!H855=0,"",[1]Blank42!H855)</f>
        <v>x</v>
      </c>
      <c r="I23" s="356" t="str">
        <f>IF([1]Blank42!I855=0,"",[1]Blank42!I855)</f>
        <v>x</v>
      </c>
      <c r="J23" s="356" t="str">
        <f>IF([1]Blank42!J855=0,"",[1]Blank42!J855)</f>
        <v>x</v>
      </c>
      <c r="K23" s="356" t="str">
        <f>IF([1]Blank42!K855=0,"",[1]Blank42!K855)</f>
        <v>x</v>
      </c>
      <c r="L23" s="356" t="str">
        <f>IF([1]Blank42!L855=0,"",[1]Blank42!L855)</f>
        <v>x</v>
      </c>
      <c r="M23" s="356" t="str">
        <f>IF([1]Blank42!M855=0,"",[1]Blank42!M855)</f>
        <v/>
      </c>
      <c r="N23" s="365"/>
    </row>
    <row r="24" spans="1:14" ht="9" customHeight="1" x14ac:dyDescent="0.4">
      <c r="A24" s="352" t="str">
        <f>[1]Blank42!A856</f>
        <v>D4</v>
      </c>
      <c r="B24" s="359" t="str">
        <f>[1]Blank42!B856</f>
        <v>Enter D4 Label</v>
      </c>
      <c r="C24" s="360" t="str">
        <f>IF([1]Blank42!C856=0,"",[1]Blank42!C856)</f>
        <v/>
      </c>
      <c r="D24" s="360" t="str">
        <f>IF([1]Blank42!D856=0,"",[1]Blank42!D856)</f>
        <v/>
      </c>
      <c r="E24" s="360" t="str">
        <f>IF([1]Blank42!E856=0,"",[1]Blank42!E856)</f>
        <v/>
      </c>
      <c r="F24" s="360" t="str">
        <f>IF([1]Blank42!F856=0,"",[1]Blank42!F856)</f>
        <v/>
      </c>
      <c r="G24" s="360" t="str">
        <f>IF([1]Blank42!G856=0,"",[1]Blank42!G856)</f>
        <v/>
      </c>
      <c r="H24" s="360" t="str">
        <f>IF([1]Blank42!H856=0,"",[1]Blank42!H856)</f>
        <v/>
      </c>
      <c r="I24" s="360" t="str">
        <f>IF([1]Blank42!I856=0,"",[1]Blank42!I856)</f>
        <v/>
      </c>
      <c r="J24" s="360" t="str">
        <f>IF([1]Blank42!J856=0,"",[1]Blank42!J856)</f>
        <v/>
      </c>
      <c r="K24" s="360" t="str">
        <f>IF([1]Blank42!K856=0,"",[1]Blank42!K856)</f>
        <v/>
      </c>
      <c r="L24" s="360" t="str">
        <f>IF([1]Blank42!L856=0,"",[1]Blank42!L856)</f>
        <v/>
      </c>
      <c r="M24" s="360" t="str">
        <f>IF([1]Blank42!M856=0,"",[1]Blank42!M856)</f>
        <v/>
      </c>
      <c r="N24" s="365"/>
    </row>
    <row r="25" spans="1:14" ht="9" customHeight="1" x14ac:dyDescent="0.35">
      <c r="A25" s="352" t="str">
        <f>[1]Blank42!A857</f>
        <v>D5</v>
      </c>
      <c r="B25" s="359" t="str">
        <f>[1]Blank42!B857</f>
        <v>Enter D5 Label</v>
      </c>
      <c r="C25" s="360" t="str">
        <f>IF([1]Blank42!C857=0,"",[1]Blank42!C857)</f>
        <v/>
      </c>
      <c r="D25" s="360" t="str">
        <f>IF([1]Blank42!D857=0,"",[1]Blank42!D857)</f>
        <v/>
      </c>
      <c r="E25" s="360" t="str">
        <f>IF([1]Blank42!E857=0,"",[1]Blank42!E857)</f>
        <v/>
      </c>
      <c r="F25" s="360" t="str">
        <f>IF([1]Blank42!F857=0,"",[1]Blank42!F857)</f>
        <v/>
      </c>
      <c r="G25" s="360" t="str">
        <f>IF([1]Blank42!G857=0,"",[1]Blank42!G857)</f>
        <v/>
      </c>
      <c r="H25" s="360" t="str">
        <f>IF([1]Blank42!H857=0,"",[1]Blank42!H857)</f>
        <v/>
      </c>
      <c r="I25" s="360" t="str">
        <f>IF([1]Blank42!I857=0,"",[1]Blank42!I857)</f>
        <v/>
      </c>
      <c r="J25" s="360" t="str">
        <f>IF([1]Blank42!J857=0,"",[1]Blank42!J857)</f>
        <v/>
      </c>
      <c r="K25" s="360" t="str">
        <f>IF([1]Blank42!K857=0,"",[1]Blank42!K857)</f>
        <v/>
      </c>
      <c r="L25" s="360" t="str">
        <f>IF([1]Blank42!L857=0,"",[1]Blank42!L857)</f>
        <v/>
      </c>
      <c r="M25" s="360" t="str">
        <f>IF([1]Blank42!M857=0,"",[1]Blank42!M857)</f>
        <v/>
      </c>
      <c r="N25" s="20"/>
    </row>
    <row r="26" spans="1:14" ht="9" customHeight="1" x14ac:dyDescent="0.35">
      <c r="A26" s="352" t="str">
        <f>[1]Blank42!A858</f>
        <v>D6</v>
      </c>
      <c r="B26" s="359" t="str">
        <f>[1]Blank42!B858</f>
        <v>Enter D6 Label</v>
      </c>
      <c r="C26" s="360" t="str">
        <f>IF([1]Blank42!C858=0,"",[1]Blank42!C858)</f>
        <v/>
      </c>
      <c r="D26" s="360" t="str">
        <f>IF([1]Blank42!D858=0,"",[1]Blank42!D858)</f>
        <v/>
      </c>
      <c r="E26" s="360" t="str">
        <f>IF([1]Blank42!E858=0,"",[1]Blank42!E858)</f>
        <v/>
      </c>
      <c r="F26" s="360" t="str">
        <f>IF([1]Blank42!F858=0,"",[1]Blank42!F858)</f>
        <v/>
      </c>
      <c r="G26" s="360" t="str">
        <f>IF([1]Blank42!G858=0,"",[1]Blank42!G858)</f>
        <v/>
      </c>
      <c r="H26" s="360" t="str">
        <f>IF([1]Blank42!H858=0,"",[1]Blank42!H858)</f>
        <v/>
      </c>
      <c r="I26" s="360" t="str">
        <f>IF([1]Blank42!I858=0,"",[1]Blank42!I858)</f>
        <v/>
      </c>
      <c r="J26" s="360" t="str">
        <f>IF([1]Blank42!J858=0,"",[1]Blank42!J858)</f>
        <v/>
      </c>
      <c r="K26" s="360" t="str">
        <f>IF([1]Blank42!K858=0,"",[1]Blank42!K858)</f>
        <v/>
      </c>
      <c r="L26" s="360" t="str">
        <f>IF([1]Blank42!L858=0,"",[1]Blank42!L858)</f>
        <v/>
      </c>
      <c r="M26" s="360" t="str">
        <f>IF([1]Blank42!M858=0,"",[1]Blank42!M858)</f>
        <v/>
      </c>
      <c r="N26" s="20"/>
    </row>
    <row r="27" spans="1:14" ht="6" customHeight="1" x14ac:dyDescent="0.35">
      <c r="A27" s="173"/>
      <c r="B27" s="56"/>
      <c r="C27" s="364"/>
      <c r="D27" s="364"/>
      <c r="E27" s="364"/>
      <c r="F27" s="364"/>
      <c r="G27" s="364"/>
      <c r="H27" s="364"/>
      <c r="I27" s="364"/>
      <c r="J27" s="364"/>
      <c r="K27" s="366"/>
      <c r="L27" s="20"/>
      <c r="M27" s="20"/>
      <c r="N27" s="20"/>
    </row>
    <row r="28" spans="1:14" ht="9.75" customHeight="1" x14ac:dyDescent="0.35">
      <c r="A28" s="353" t="str">
        <f>[1]Blank42!A860</f>
        <v>Define Ratios</v>
      </c>
      <c r="B28" s="353"/>
      <c r="C28" s="367" t="str">
        <f>[1]Blank42!C860</f>
        <v>Ratio Label</v>
      </c>
      <c r="D28" s="367"/>
      <c r="E28" s="367"/>
      <c r="F28" s="354" t="str">
        <f>[1]Blank42!F860</f>
        <v>Numerator</v>
      </c>
      <c r="G28" s="354" t="str">
        <f>[1]Blank42!G860</f>
        <v>Denominator</v>
      </c>
      <c r="H28" s="364"/>
      <c r="I28" s="364"/>
      <c r="J28" s="364"/>
      <c r="K28" s="368"/>
      <c r="L28" s="368"/>
      <c r="M28" s="20"/>
      <c r="N28" s="20"/>
    </row>
    <row r="29" spans="1:14" ht="3" customHeight="1" x14ac:dyDescent="0.35">
      <c r="A29" s="352">
        <f>[1]Blank42!A861</f>
        <v>0</v>
      </c>
      <c r="B29" s="41">
        <f>[1]Blank42!B861</f>
        <v>0</v>
      </c>
      <c r="C29" s="352">
        <f>[1]Blank42!C861</f>
        <v>0</v>
      </c>
      <c r="D29" s="352">
        <f>[1]Blank42!D861</f>
        <v>0</v>
      </c>
      <c r="E29" s="364">
        <f>[1]Blank42!E861</f>
        <v>0</v>
      </c>
      <c r="F29" s="364">
        <f>[1]Blank42!F861</f>
        <v>0</v>
      </c>
      <c r="G29" s="364">
        <f>[1]Blank42!G861</f>
        <v>0</v>
      </c>
      <c r="H29" s="364"/>
      <c r="I29" s="364"/>
      <c r="J29" s="364"/>
      <c r="K29" s="368"/>
      <c r="L29" s="368"/>
      <c r="M29" s="20"/>
      <c r="N29" s="20"/>
    </row>
    <row r="30" spans="1:14" ht="9.75" customHeight="1" x14ac:dyDescent="0.35">
      <c r="A30" s="352"/>
      <c r="B30" s="352">
        <f>[1]Blank42!B862</f>
        <v>1</v>
      </c>
      <c r="C30" s="369" t="str">
        <f>[1]Blank42!C862</f>
        <v xml:space="preserve">EBITDA to Sr. Debt </v>
      </c>
      <c r="D30" s="370"/>
      <c r="E30" s="371"/>
      <c r="F30" s="360" t="str">
        <f>IF([1]Blank42!F862=0,"",[1]Blank42!F862)</f>
        <v>N1</v>
      </c>
      <c r="G30" s="360" t="str">
        <f>IF([1]Blank42!G862=0,"",[1]Blank42!G862)</f>
        <v>D1</v>
      </c>
      <c r="H30" s="372"/>
      <c r="I30" s="364"/>
      <c r="J30" s="364"/>
      <c r="K30" s="366"/>
      <c r="L30" s="20"/>
      <c r="M30" s="20"/>
      <c r="N30" s="20"/>
    </row>
    <row r="31" spans="1:14" ht="9.75" customHeight="1" x14ac:dyDescent="0.35">
      <c r="A31" s="352"/>
      <c r="B31" s="352">
        <f>[1]Blank42!B863</f>
        <v>2</v>
      </c>
      <c r="C31" s="369" t="str">
        <f>[1]Blank42!C863</f>
        <v xml:space="preserve">Gross FCF to Total Debt </v>
      </c>
      <c r="D31" s="370"/>
      <c r="E31" s="371"/>
      <c r="F31" s="360" t="str">
        <f>IF([1]Blank42!F863=0,"",[1]Blank42!F863)</f>
        <v>N2</v>
      </c>
      <c r="G31" s="360" t="str">
        <f>IF([1]Blank42!G863=0,"",[1]Blank42!G863)</f>
        <v>D2</v>
      </c>
      <c r="H31" s="373"/>
      <c r="I31" s="374"/>
      <c r="J31" s="374"/>
      <c r="K31" s="366"/>
      <c r="L31" s="20"/>
      <c r="M31" s="20"/>
      <c r="N31" s="20"/>
    </row>
    <row r="32" spans="1:14" ht="9.75" customHeight="1" x14ac:dyDescent="0.35">
      <c r="A32" s="352"/>
      <c r="B32" s="352">
        <f>[1]Blank42!B864</f>
        <v>3</v>
      </c>
      <c r="C32" s="369" t="str">
        <f>[1]Blank42!C864</f>
        <v xml:space="preserve">EBITDA to Total Debt </v>
      </c>
      <c r="D32" s="370"/>
      <c r="E32" s="371"/>
      <c r="F32" s="360" t="str">
        <f>IF([1]Blank42!F864=0,"",[1]Blank42!F864)</f>
        <v>N1</v>
      </c>
      <c r="G32" s="360" t="str">
        <f>IF([1]Blank42!G864=0,"",[1]Blank42!G864)</f>
        <v>D2</v>
      </c>
      <c r="H32" s="373"/>
      <c r="I32" s="374"/>
      <c r="J32" s="374"/>
      <c r="K32" s="366"/>
      <c r="L32" s="20"/>
      <c r="M32" s="20"/>
      <c r="N32" s="20"/>
    </row>
    <row r="33" spans="1:14" ht="9.75" customHeight="1" x14ac:dyDescent="0.35">
      <c r="A33" s="352"/>
      <c r="B33" s="352">
        <f>[1]Blank42!B865</f>
        <v>4</v>
      </c>
      <c r="C33" s="369" t="str">
        <f>[1]Blank42!C865</f>
        <v>Select Numerator &amp; Denominator</v>
      </c>
      <c r="D33" s="370"/>
      <c r="E33" s="371"/>
      <c r="F33" s="360" t="str">
        <f>IF([1]Blank42!F865=0,"",[1]Blank42!F865)</f>
        <v/>
      </c>
      <c r="G33" s="360" t="str">
        <f>IF([1]Blank42!G865=0,"",[1]Blank42!G865)</f>
        <v/>
      </c>
      <c r="H33" s="375"/>
      <c r="I33" s="357"/>
      <c r="J33" s="364"/>
      <c r="K33" s="366"/>
      <c r="L33" s="20"/>
      <c r="M33" s="20"/>
      <c r="N33" s="20"/>
    </row>
    <row r="34" spans="1:14" ht="9.75" customHeight="1" x14ac:dyDescent="0.35">
      <c r="A34" s="352"/>
      <c r="B34" s="352">
        <f>[1]Blank42!B866</f>
        <v>5</v>
      </c>
      <c r="C34" s="369" t="str">
        <f>[1]Blank42!C866</f>
        <v>Select Numerator &amp; Denominator</v>
      </c>
      <c r="D34" s="370"/>
      <c r="E34" s="371"/>
      <c r="F34" s="360" t="str">
        <f>IF([1]Blank42!F866=0,"",[1]Blank42!F866)</f>
        <v/>
      </c>
      <c r="G34" s="360" t="str">
        <f>IF([1]Blank42!G866=0,"",[1]Blank42!G866)</f>
        <v/>
      </c>
      <c r="H34" s="364"/>
      <c r="I34" s="364"/>
      <c r="J34" s="364"/>
      <c r="K34" s="366"/>
      <c r="L34" s="20"/>
      <c r="M34" s="20"/>
      <c r="N34" s="20"/>
    </row>
    <row r="35" spans="1:14" ht="9" customHeight="1" x14ac:dyDescent="0.35">
      <c r="A35" s="41"/>
      <c r="B35" s="41"/>
      <c r="C35" s="352"/>
      <c r="D35" s="352"/>
      <c r="E35" s="352"/>
      <c r="F35" s="352"/>
      <c r="G35" s="364"/>
      <c r="H35" s="364"/>
      <c r="I35" s="364"/>
      <c r="J35" s="364"/>
      <c r="K35" s="366"/>
      <c r="L35" s="20"/>
      <c r="M35" s="20"/>
      <c r="N35" s="20"/>
    </row>
    <row r="36" spans="1:14" ht="12" customHeight="1" x14ac:dyDescent="0.4">
      <c r="A36" s="151" t="str">
        <f>[1]Blank42!A868</f>
        <v>Interest Coverage Ratios</v>
      </c>
      <c r="B36" s="139"/>
      <c r="C36" s="139"/>
      <c r="D36" s="350"/>
      <c r="E36" s="140"/>
      <c r="F36" s="140" t="str">
        <f>[1]Blank42!F868</f>
        <v>Year1</v>
      </c>
      <c r="G36" s="140" t="str">
        <f>[1]Blank42!G868</f>
        <v>Year2</v>
      </c>
      <c r="H36" s="140" t="str">
        <f>[1]Blank42!H868</f>
        <v>Year3</v>
      </c>
      <c r="I36" s="140" t="str">
        <f>[1]Blank42!I868</f>
        <v>Year4</v>
      </c>
      <c r="J36" s="140" t="str">
        <f>[1]Blank42!J868</f>
        <v>Year5</v>
      </c>
      <c r="K36" s="257"/>
      <c r="L36" s="257"/>
      <c r="M36" s="257"/>
      <c r="N36" s="257"/>
    </row>
    <row r="37" spans="1:14" ht="3" customHeight="1" x14ac:dyDescent="0.35">
      <c r="A37" s="266">
        <f>[1]Blank42!A869</f>
        <v>0</v>
      </c>
      <c r="B37" s="20"/>
      <c r="C37" s="20"/>
      <c r="D37" s="56">
        <f>[1]Blank42!D869</f>
        <v>0</v>
      </c>
      <c r="E37" s="20">
        <f>[1]Blank42!E869</f>
        <v>0</v>
      </c>
      <c r="F37" s="20">
        <f>[1]Blank42!F869</f>
        <v>0</v>
      </c>
      <c r="G37" s="20">
        <f>[1]Blank42!G869</f>
        <v>0</v>
      </c>
      <c r="H37" s="20">
        <f>[1]Blank42!H869</f>
        <v>0</v>
      </c>
      <c r="I37" s="20">
        <f>[1]Blank42!I869</f>
        <v>0</v>
      </c>
      <c r="J37" s="20">
        <f>[1]Blank42!J869</f>
        <v>0</v>
      </c>
      <c r="K37" s="257"/>
      <c r="L37" s="257"/>
      <c r="M37" s="257"/>
      <c r="N37" s="257"/>
    </row>
    <row r="38" spans="1:14" ht="12" customHeight="1" x14ac:dyDescent="0.35">
      <c r="A38" s="20"/>
      <c r="B38" s="20"/>
      <c r="C38" s="20"/>
      <c r="D38" s="376" t="str">
        <f>[1]Blank42!D870</f>
        <v>EBITDA to Sr. Debt  Interest</v>
      </c>
      <c r="E38" s="376"/>
      <c r="F38" s="377">
        <f>[1]Blank42!F870</f>
        <v>4.6349089571454849</v>
      </c>
      <c r="G38" s="377">
        <f>[1]Blank42!G870</f>
        <v>5.0689169643968937</v>
      </c>
      <c r="H38" s="377">
        <f>[1]Blank42!H870</f>
        <v>5.7021170019488459</v>
      </c>
      <c r="I38" s="377">
        <f>[1]Blank42!I870</f>
        <v>6.6563187677932998</v>
      </c>
      <c r="J38" s="377">
        <f>[1]Blank42!J870</f>
        <v>8.1930432745205533</v>
      </c>
      <c r="K38" s="307" t="str">
        <f>[1]Blank42!K870</f>
        <v/>
      </c>
      <c r="L38" s="257"/>
      <c r="M38" s="257"/>
      <c r="N38" s="257"/>
    </row>
    <row r="39" spans="1:14" ht="12" customHeight="1" x14ac:dyDescent="0.35">
      <c r="A39" s="20"/>
      <c r="B39" s="20"/>
      <c r="C39" s="20"/>
      <c r="D39" s="376" t="str">
        <f>[1]Blank42!D871</f>
        <v>Gross FCF to Total Debt  Interest</v>
      </c>
      <c r="E39" s="376"/>
      <c r="F39" s="377" t="str">
        <f>[1]Blank42!F871</f>
        <v>**</v>
      </c>
      <c r="G39" s="377" t="str">
        <f>[1]Blank42!G871</f>
        <v>**</v>
      </c>
      <c r="H39" s="377" t="str">
        <f>[1]Blank42!H871</f>
        <v>**</v>
      </c>
      <c r="I39" s="377" t="str">
        <f>[1]Blank42!I871</f>
        <v>**</v>
      </c>
      <c r="J39" s="377" t="str">
        <f>[1]Blank42!J871</f>
        <v>**</v>
      </c>
      <c r="K39" s="307" t="str">
        <f>[1]Blank42!K871</f>
        <v xml:space="preserve">   No Ratio; Numerator is Principal, Denominator is Interest</v>
      </c>
      <c r="L39" s="257"/>
      <c r="M39" s="257"/>
      <c r="N39" s="257"/>
    </row>
    <row r="40" spans="1:14" ht="12" customHeight="1" x14ac:dyDescent="0.35">
      <c r="A40" s="20"/>
      <c r="B40" s="20"/>
      <c r="C40" s="20"/>
      <c r="D40" s="376" t="str">
        <f>[1]Blank42!D872</f>
        <v>EBITDA to Total Debt  Interest</v>
      </c>
      <c r="E40" s="376"/>
      <c r="F40" s="377">
        <f>[1]Blank42!F872</f>
        <v>2.6969939166005843</v>
      </c>
      <c r="G40" s="377">
        <f>[1]Blank42!G872</f>
        <v>3.1705941215329121</v>
      </c>
      <c r="H40" s="377">
        <f>[1]Blank42!H872</f>
        <v>3.8499578262403742</v>
      </c>
      <c r="I40" s="377">
        <f>[1]Blank42!I872</f>
        <v>4.9067420454768422</v>
      </c>
      <c r="J40" s="377">
        <f>[1]Blank42!J872</f>
        <v>6.7767503277698742</v>
      </c>
      <c r="K40" s="307" t="str">
        <f>[1]Blank42!K872</f>
        <v/>
      </c>
      <c r="L40" s="257"/>
      <c r="M40" s="257"/>
      <c r="N40" s="257"/>
    </row>
    <row r="41" spans="1:14" ht="12" customHeight="1" x14ac:dyDescent="0.35">
      <c r="A41" s="20"/>
      <c r="B41" s="20"/>
      <c r="C41" s="20"/>
      <c r="D41" s="376" t="str">
        <f>[1]Blank42!D873</f>
        <v>Select Numerator &amp; Denominator</v>
      </c>
      <c r="E41" s="376"/>
      <c r="F41" s="377" t="str">
        <f>[1]Blank42!F873</f>
        <v>n/a</v>
      </c>
      <c r="G41" s="377" t="str">
        <f>[1]Blank42!G873</f>
        <v>n/a</v>
      </c>
      <c r="H41" s="377" t="str">
        <f>[1]Blank42!H873</f>
        <v>n/a</v>
      </c>
      <c r="I41" s="377" t="str">
        <f>[1]Blank42!I873</f>
        <v>n/a</v>
      </c>
      <c r="J41" s="377" t="str">
        <f>[1]Blank42!J873</f>
        <v>n/a</v>
      </c>
      <c r="K41" s="307" t="str">
        <f>[1]Blank42!K873</f>
        <v/>
      </c>
      <c r="L41" s="257"/>
      <c r="M41" s="257"/>
      <c r="N41" s="257"/>
    </row>
    <row r="42" spans="1:14" ht="12" customHeight="1" x14ac:dyDescent="0.35">
      <c r="A42" s="20"/>
      <c r="B42" s="20"/>
      <c r="C42" s="20"/>
      <c r="D42" s="376" t="str">
        <f>[1]Blank42!D874</f>
        <v>Select Numerator &amp; Denominator</v>
      </c>
      <c r="E42" s="376"/>
      <c r="F42" s="377" t="str">
        <f>[1]Blank42!F874</f>
        <v>n/a</v>
      </c>
      <c r="G42" s="377" t="str">
        <f>[1]Blank42!G874</f>
        <v>n/a</v>
      </c>
      <c r="H42" s="377" t="str">
        <f>[1]Blank42!H874</f>
        <v>n/a</v>
      </c>
      <c r="I42" s="377" t="str">
        <f>[1]Blank42!I874</f>
        <v>n/a</v>
      </c>
      <c r="J42" s="377" t="str">
        <f>[1]Blank42!J874</f>
        <v>n/a</v>
      </c>
      <c r="K42" s="307" t="str">
        <f>[1]Blank42!K874</f>
        <v/>
      </c>
      <c r="L42" s="257"/>
      <c r="M42" s="257"/>
      <c r="N42" s="257"/>
    </row>
    <row r="43" spans="1:14" ht="3" customHeight="1" x14ac:dyDescent="0.35">
      <c r="A43" s="266">
        <f>[1]Blank42!A875</f>
        <v>0</v>
      </c>
      <c r="B43" s="20"/>
      <c r="C43" s="20"/>
      <c r="D43" s="56">
        <f>[1]Blank42!D875</f>
        <v>0</v>
      </c>
      <c r="E43" s="263">
        <f>[1]Blank42!E875</f>
        <v>0</v>
      </c>
      <c r="F43" s="302">
        <f>[1]Blank42!F875</f>
        <v>0</v>
      </c>
      <c r="G43" s="302">
        <f>[1]Blank42!G875</f>
        <v>0</v>
      </c>
      <c r="H43" s="302">
        <f>[1]Blank42!H875</f>
        <v>0</v>
      </c>
      <c r="I43" s="302">
        <f>[1]Blank42!I875</f>
        <v>0</v>
      </c>
      <c r="J43" s="302">
        <f>[1]Blank42!J875</f>
        <v>0</v>
      </c>
      <c r="K43" s="257"/>
      <c r="L43" s="257"/>
      <c r="M43" s="257"/>
      <c r="N43" s="257"/>
    </row>
    <row r="44" spans="1:14" ht="12" customHeight="1" x14ac:dyDescent="0.4">
      <c r="A44" s="151" t="str">
        <f>[1]Blank42!A876</f>
        <v>Debt Service Coverage Ratios</v>
      </c>
      <c r="B44" s="139"/>
      <c r="C44" s="139"/>
      <c r="D44" s="350"/>
      <c r="E44" s="201" t="str">
        <f>[1]Blank42!E876</f>
        <v>P or P+I</v>
      </c>
      <c r="F44" s="140" t="str">
        <f>[1]Blank42!F876</f>
        <v>Year1</v>
      </c>
      <c r="G44" s="140" t="str">
        <f>[1]Blank42!G876</f>
        <v>Year2</v>
      </c>
      <c r="H44" s="140" t="str">
        <f>[1]Blank42!H876</f>
        <v>Year3</v>
      </c>
      <c r="I44" s="140" t="str">
        <f>[1]Blank42!I876</f>
        <v>Year4</v>
      </c>
      <c r="J44" s="140" t="str">
        <f>[1]Blank42!J876</f>
        <v>Year5</v>
      </c>
      <c r="K44" s="20"/>
      <c r="L44" s="257"/>
      <c r="M44" s="257"/>
      <c r="N44" s="257"/>
    </row>
    <row r="45" spans="1:14" ht="3" customHeight="1" x14ac:dyDescent="0.35">
      <c r="A45" s="266">
        <f>[1]Blank42!A877</f>
        <v>0</v>
      </c>
      <c r="B45" s="20"/>
      <c r="C45" s="20"/>
      <c r="D45" s="56">
        <f>[1]Blank42!D877</f>
        <v>0</v>
      </c>
      <c r="E45" s="263">
        <f>[1]Blank42!E877</f>
        <v>0</v>
      </c>
      <c r="F45" s="302">
        <f>[1]Blank42!F877</f>
        <v>0</v>
      </c>
      <c r="G45" s="302">
        <f>[1]Blank42!G877</f>
        <v>0</v>
      </c>
      <c r="H45" s="302">
        <f>[1]Blank42!H877</f>
        <v>0</v>
      </c>
      <c r="I45" s="302">
        <f>[1]Blank42!I877</f>
        <v>0</v>
      </c>
      <c r="J45" s="302">
        <f>[1]Blank42!J877</f>
        <v>0</v>
      </c>
      <c r="K45" s="257"/>
      <c r="L45" s="257"/>
      <c r="M45" s="257"/>
      <c r="N45" s="257"/>
    </row>
    <row r="46" spans="1:14" ht="12" customHeight="1" x14ac:dyDescent="0.35">
      <c r="A46" s="266"/>
      <c r="B46" s="20"/>
      <c r="C46" s="20"/>
      <c r="D46" s="41" t="str">
        <f>[1]Blank42!D878</f>
        <v>EBITDA to Sr. Debt Service</v>
      </c>
      <c r="E46" s="378" t="str">
        <f>[1]Blank42!E878</f>
        <v>P+I</v>
      </c>
      <c r="F46" s="377">
        <f>[1]Blank42!F878</f>
        <v>2.3045267489711936</v>
      </c>
      <c r="G46" s="377">
        <f>[1]Blank42!G878</f>
        <v>2.380577510470133</v>
      </c>
      <c r="H46" s="377">
        <f>[1]Blank42!H878</f>
        <v>2.4841636250183288</v>
      </c>
      <c r="I46" s="377">
        <f>[1]Blank42!I878</f>
        <v>2.6206015824481188</v>
      </c>
      <c r="J46" s="377">
        <f>[1]Blank42!J878</f>
        <v>2.7980146136573261</v>
      </c>
      <c r="K46" s="20"/>
      <c r="L46" s="20"/>
      <c r="M46" s="20"/>
      <c r="N46" s="20"/>
    </row>
    <row r="47" spans="1:14" ht="12" customHeight="1" x14ac:dyDescent="0.35">
      <c r="A47" s="276"/>
      <c r="B47" s="20"/>
      <c r="C47" s="20"/>
      <c r="D47" s="41" t="str">
        <f>[1]Blank42!D879</f>
        <v>Gross FCF to Total Debt Service</v>
      </c>
      <c r="E47" s="378" t="str">
        <f>[1]Blank42!E879</f>
        <v>P</v>
      </c>
      <c r="F47" s="377">
        <f>[1]Blank42!F879</f>
        <v>1.0904619231686985</v>
      </c>
      <c r="G47" s="377">
        <f>[1]Blank42!G879</f>
        <v>1.1709040222800853</v>
      </c>
      <c r="H47" s="377">
        <f>[1]Blank42!H879</f>
        <v>1.2538314285096857</v>
      </c>
      <c r="I47" s="377">
        <f>[1]Blank42!I879</f>
        <v>1.3392210679510277</v>
      </c>
      <c r="J47" s="377">
        <f>[1]Blank42!J879</f>
        <v>1.4270387668929416</v>
      </c>
      <c r="K47" s="20"/>
      <c r="L47" s="20"/>
      <c r="M47" s="20"/>
      <c r="N47" s="20"/>
    </row>
    <row r="48" spans="1:14" ht="12" customHeight="1" x14ac:dyDescent="0.35">
      <c r="A48" s="266"/>
      <c r="B48" s="20"/>
      <c r="C48" s="20"/>
      <c r="D48" s="41" t="str">
        <f>[1]Blank42!D880</f>
        <v>EBITDA to Total Debt Service</v>
      </c>
      <c r="E48" s="378" t="str">
        <f>[1]Blank42!E880</f>
        <v>P+I</v>
      </c>
      <c r="F48" s="377">
        <f>[1]Blank42!F880</f>
        <v>1.1123269735019119</v>
      </c>
      <c r="G48" s="377">
        <f>[1]Blank42!G880</f>
        <v>1.1997925973694838</v>
      </c>
      <c r="H48" s="377">
        <f>[1]Blank42!H880</f>
        <v>1.3018260889712878</v>
      </c>
      <c r="I48" s="377">
        <f>[1]Blank42!I880</f>
        <v>1.4224752384468637</v>
      </c>
      <c r="J48" s="377">
        <f>[1]Blank42!J880</f>
        <v>1.5674209589584336</v>
      </c>
      <c r="K48" s="20"/>
      <c r="L48" s="20"/>
      <c r="M48" s="20"/>
      <c r="N48" s="20"/>
    </row>
    <row r="49" spans="1:14" ht="12" customHeight="1" x14ac:dyDescent="0.35">
      <c r="A49" s="266"/>
      <c r="B49" s="20"/>
      <c r="C49" s="20"/>
      <c r="D49" s="41" t="str">
        <f>[1]Blank42!D881</f>
        <v>Select Numerator &amp; Denominator</v>
      </c>
      <c r="E49" s="378" t="str">
        <f>[1]Blank42!E881</f>
        <v>P+I</v>
      </c>
      <c r="F49" s="377" t="str">
        <f>[1]Blank42!F881</f>
        <v>n/a</v>
      </c>
      <c r="G49" s="377" t="str">
        <f>[1]Blank42!G881</f>
        <v>n/a</v>
      </c>
      <c r="H49" s="377" t="str">
        <f>[1]Blank42!H881</f>
        <v>n/a</v>
      </c>
      <c r="I49" s="377" t="str">
        <f>[1]Blank42!I881</f>
        <v>n/a</v>
      </c>
      <c r="J49" s="377" t="str">
        <f>[1]Blank42!J881</f>
        <v>n/a</v>
      </c>
      <c r="K49" s="20"/>
      <c r="L49" s="20"/>
      <c r="M49" s="20"/>
      <c r="N49" s="20"/>
    </row>
    <row r="50" spans="1:14" ht="12" customHeight="1" x14ac:dyDescent="0.35">
      <c r="A50" s="20"/>
      <c r="B50" s="269"/>
      <c r="C50" s="379"/>
      <c r="D50" s="41" t="str">
        <f>[1]Blank42!D882</f>
        <v>Select Numerator &amp; Denominator</v>
      </c>
      <c r="E50" s="378" t="str">
        <f>[1]Blank42!E882</f>
        <v>P+I</v>
      </c>
      <c r="F50" s="377" t="str">
        <f>[1]Blank42!F882</f>
        <v>n/a</v>
      </c>
      <c r="G50" s="377" t="str">
        <f>[1]Blank42!G882</f>
        <v>n/a</v>
      </c>
      <c r="H50" s="377" t="str">
        <f>[1]Blank42!H882</f>
        <v>n/a</v>
      </c>
      <c r="I50" s="377" t="str">
        <f>[1]Blank42!I882</f>
        <v>n/a</v>
      </c>
      <c r="J50" s="377" t="str">
        <f>[1]Blank42!J882</f>
        <v>n/a</v>
      </c>
      <c r="K50" s="20"/>
      <c r="L50" s="20"/>
      <c r="M50" s="20"/>
      <c r="N50" s="20"/>
    </row>
    <row r="51" spans="1:14" ht="3" customHeight="1" x14ac:dyDescent="0.35">
      <c r="A51" s="276"/>
      <c r="B51" s="20"/>
      <c r="C51" s="20"/>
      <c r="D51" s="56"/>
      <c r="E51" s="263"/>
      <c r="F51" s="302"/>
      <c r="G51" s="302"/>
      <c r="H51" s="302"/>
      <c r="I51" s="302"/>
      <c r="J51" s="302"/>
      <c r="K51" s="67"/>
      <c r="L51" s="20"/>
      <c r="M51" s="20"/>
      <c r="N51" s="20"/>
    </row>
    <row r="52" spans="1:14" ht="12" customHeight="1" x14ac:dyDescent="0.4">
      <c r="A52" s="151" t="str">
        <f>[1]Blank42!A884</f>
        <v>Other Ratios</v>
      </c>
      <c r="B52" s="139"/>
      <c r="C52" s="139"/>
      <c r="D52" s="350"/>
      <c r="E52" s="140" t="str">
        <f>[1]Blank42!E884</f>
        <v>Year0</v>
      </c>
      <c r="F52" s="140" t="str">
        <f>[1]Blank42!F884</f>
        <v>Year1</v>
      </c>
      <c r="G52" s="140" t="str">
        <f>[1]Blank42!G884</f>
        <v>Year2</v>
      </c>
      <c r="H52" s="140" t="str">
        <f>[1]Blank42!H884</f>
        <v>Year3</v>
      </c>
      <c r="I52" s="140" t="str">
        <f>[1]Blank42!I884</f>
        <v>Year4</v>
      </c>
      <c r="J52" s="140" t="str">
        <f>[1]Blank42!J884</f>
        <v>Year5</v>
      </c>
      <c r="K52" s="380"/>
      <c r="L52" s="381" t="str">
        <f>[1]Blank42!$L$884</f>
        <v>Explanation</v>
      </c>
      <c r="M52" s="382"/>
      <c r="N52" s="383"/>
    </row>
    <row r="53" spans="1:14" ht="3" customHeight="1" x14ac:dyDescent="0.35">
      <c r="A53" s="20">
        <f>[1]Blank42!A885</f>
        <v>0</v>
      </c>
      <c r="B53" s="20"/>
      <c r="C53" s="20"/>
      <c r="D53" s="56">
        <f>[1]Blank42!D885</f>
        <v>0</v>
      </c>
      <c r="E53" s="263">
        <f>[1]Blank42!E885</f>
        <v>0</v>
      </c>
      <c r="F53" s="302">
        <f>[1]Blank42!F885</f>
        <v>0</v>
      </c>
      <c r="G53" s="302">
        <f>[1]Blank42!G885</f>
        <v>0</v>
      </c>
      <c r="H53" s="302">
        <f>[1]Blank42!H885</f>
        <v>0</v>
      </c>
      <c r="I53" s="302">
        <f>[1]Blank42!I885</f>
        <v>0</v>
      </c>
      <c r="J53" s="302">
        <f>[1]Blank42!J885</f>
        <v>0</v>
      </c>
      <c r="K53" s="49">
        <f>[1]Blank42!K885</f>
        <v>0</v>
      </c>
      <c r="L53" s="20"/>
      <c r="M53" s="20"/>
      <c r="N53" s="21"/>
    </row>
    <row r="54" spans="1:14" ht="12" customHeight="1" x14ac:dyDescent="0.35">
      <c r="A54" s="20"/>
      <c r="B54" s="20"/>
      <c r="C54" s="20"/>
      <c r="D54" s="41" t="str">
        <f>[1]Blank42!D886</f>
        <v>Current Ratio = CA/CL</v>
      </c>
      <c r="E54" s="384">
        <f>[1]Blank42!E886</f>
        <v>1.3157894736842106</v>
      </c>
      <c r="F54" s="384">
        <f>[1]Blank42!F886</f>
        <v>1.3157894736842106</v>
      </c>
      <c r="G54" s="384">
        <f>[1]Blank42!G886</f>
        <v>1.3519767839356225</v>
      </c>
      <c r="H54" s="384">
        <f>[1]Blank42!H886</f>
        <v>1.4285104559670261</v>
      </c>
      <c r="I54" s="384">
        <f>[1]Blank42!I886</f>
        <v>1.5572811414531134</v>
      </c>
      <c r="J54" s="384">
        <f>[1]Blank42!J886</f>
        <v>1.7637624161804846</v>
      </c>
      <c r="K54" s="171" t="str">
        <f>[1]Blank42!$K887</f>
        <v xml:space="preserve">   CA = Cash + A/R + Inventory + Other Misc. Assets</v>
      </c>
      <c r="L54" s="20"/>
      <c r="M54" s="20"/>
      <c r="N54" s="21"/>
    </row>
    <row r="55" spans="1:14" ht="12" customHeight="1" x14ac:dyDescent="0.35">
      <c r="A55" s="276"/>
      <c r="B55" s="20"/>
      <c r="C55" s="20"/>
      <c r="D55" s="41" t="str">
        <f>[1]Blank42!D887</f>
        <v>Quick Ratio =(CA-Inventory)/CL</v>
      </c>
      <c r="E55" s="384">
        <f>[1]Blank42!E887</f>
        <v>0.52631578947368418</v>
      </c>
      <c r="F55" s="384">
        <f>[1]Blank42!F887</f>
        <v>0.52631578947368418</v>
      </c>
      <c r="G55" s="384">
        <f>[1]Blank42!G887</f>
        <v>0.54079071357424902</v>
      </c>
      <c r="H55" s="384">
        <f>[1]Blank42!H887</f>
        <v>0.57140418238681046</v>
      </c>
      <c r="I55" s="384">
        <f>[1]Blank42!I887</f>
        <v>0.62291245658124528</v>
      </c>
      <c r="J55" s="384">
        <f>[1]Blank42!J887</f>
        <v>0.70550496647219385</v>
      </c>
      <c r="K55" s="171" t="str">
        <f>[1]Blank42!$K886</f>
        <v xml:space="preserve">   CL= A/P + Other Misc. Liab + Revolver</v>
      </c>
      <c r="L55" s="20"/>
      <c r="M55" s="20"/>
      <c r="N55" s="21"/>
    </row>
    <row r="56" spans="1:14" ht="12" customHeight="1" x14ac:dyDescent="0.35">
      <c r="A56" s="276"/>
      <c r="B56" s="20"/>
      <c r="C56" s="20"/>
      <c r="D56" s="41" t="str">
        <f>[1]Blank42!D888</f>
        <v>All Obligations / Equity</v>
      </c>
      <c r="E56" s="384">
        <f>[1]Blank42!E888</f>
        <v>3.2317360700204287</v>
      </c>
      <c r="F56" s="384">
        <f>[1]Blank42!F888</f>
        <v>2.6980340340158766</v>
      </c>
      <c r="G56" s="384">
        <f>[1]Blank42!G888</f>
        <v>2.1192300223689871</v>
      </c>
      <c r="H56" s="384">
        <f>[1]Blank42!H888</f>
        <v>1.5458078952156873</v>
      </c>
      <c r="I56" s="384">
        <f>[1]Blank42!I888</f>
        <v>1.0159035377670227</v>
      </c>
      <c r="J56" s="384">
        <f>[1]Blank42!J888</f>
        <v>0.55115245237821087</v>
      </c>
      <c r="K56" s="171" t="str">
        <f>[1]Blank42!$K888</f>
        <v xml:space="preserve">   Sr. Debt = Revolver + Term + Over Adv.+ CapX</v>
      </c>
      <c r="L56" s="20"/>
      <c r="M56" s="20"/>
      <c r="N56" s="21"/>
    </row>
    <row r="57" spans="1:14" ht="12" customHeight="1" x14ac:dyDescent="0.35">
      <c r="A57" s="20"/>
      <c r="B57" s="20"/>
      <c r="C57" s="20"/>
      <c r="D57" s="41" t="str">
        <f>[1]Blank42!D889</f>
        <v>Sr. Debt / EBITDA</v>
      </c>
      <c r="E57" s="384">
        <f>[1]Blank42!E889</f>
        <v>2.1866666666666665</v>
      </c>
      <c r="F57" s="384">
        <f>[1]Blank42!F889</f>
        <v>1.9926984126984126</v>
      </c>
      <c r="G57" s="384">
        <f>[1]Blank42!G889</f>
        <v>1.7626713521769812</v>
      </c>
      <c r="H57" s="384">
        <f>[1]Blank42!H889</f>
        <v>1.4986984916203847</v>
      </c>
      <c r="I57" s="384">
        <f>[1]Blank42!I889</f>
        <v>1.2028250690166407</v>
      </c>
      <c r="J57" s="384">
        <f>[1]Blank42!J889</f>
        <v>0.87696516357814702</v>
      </c>
      <c r="K57" s="171" t="str">
        <f>[1]Blank42!$K889</f>
        <v xml:space="preserve">   Total Debt = Sr. Debt + Gap (Seller) + Mezz</v>
      </c>
      <c r="L57" s="20"/>
      <c r="M57" s="20"/>
      <c r="N57" s="21"/>
    </row>
    <row r="58" spans="1:14" ht="12" customHeight="1" x14ac:dyDescent="0.35">
      <c r="A58" s="263"/>
      <c r="B58" s="263"/>
      <c r="C58" s="263"/>
      <c r="D58" s="41" t="str">
        <f>[1]Blank42!D890</f>
        <v>(Sr. Debt+Mezz) / EBITDA</v>
      </c>
      <c r="E58" s="384">
        <f>[1]Blank42!E890</f>
        <v>2.1866666666666665</v>
      </c>
      <c r="F58" s="384">
        <f>[1]Blank42!F890</f>
        <v>1.9926984126984126</v>
      </c>
      <c r="G58" s="384">
        <f>[1]Blank42!G890</f>
        <v>1.7626713521769812</v>
      </c>
      <c r="H58" s="384">
        <f>[1]Blank42!H890</f>
        <v>1.4986984916203847</v>
      </c>
      <c r="I58" s="384">
        <f>[1]Blank42!I890</f>
        <v>1.2028250690166407</v>
      </c>
      <c r="J58" s="384">
        <f>[1]Blank42!J890</f>
        <v>0.87696516357814702</v>
      </c>
      <c r="K58" s="171" t="str">
        <f>[1]Blank42!$K890</f>
        <v xml:space="preserve">   All Obligations = Total Debt + Non Comp + Conslt.+ PG</v>
      </c>
      <c r="L58" s="20"/>
      <c r="M58" s="20"/>
      <c r="N58" s="385"/>
    </row>
    <row r="59" spans="1:14" ht="12" customHeight="1" x14ac:dyDescent="0.35">
      <c r="A59" s="263"/>
      <c r="B59" s="263"/>
      <c r="C59" s="263"/>
      <c r="D59" s="41" t="str">
        <f>[1]Blank42!D891</f>
        <v>Total Debt / EBITDA</v>
      </c>
      <c r="E59" s="384">
        <f>[1]Blank42!E891</f>
        <v>3.814473464602651</v>
      </c>
      <c r="F59" s="384">
        <f>[1]Blank42!F891</f>
        <v>3.2329321635067818</v>
      </c>
      <c r="G59" s="384">
        <f>[1]Blank42!G891</f>
        <v>2.6485526027543882</v>
      </c>
      <c r="H59" s="384">
        <f>[1]Blank42!H891</f>
        <v>2.061162777701278</v>
      </c>
      <c r="I59" s="384">
        <f>[1]Blank42!I891</f>
        <v>1.470665205245637</v>
      </c>
      <c r="J59" s="384">
        <f>[1]Blank42!J891</f>
        <v>0.87696516357814702</v>
      </c>
      <c r="K59" s="127"/>
      <c r="L59" s="386" t="str">
        <f>[1]Blank42!$L$891</f>
        <v>PG = Personal Goodwill</v>
      </c>
      <c r="M59" s="387"/>
      <c r="N59" s="388"/>
    </row>
    <row r="60" spans="1:14" ht="12" customHeight="1" x14ac:dyDescent="0.35">
      <c r="A60" s="263"/>
      <c r="B60" s="263"/>
      <c r="C60" s="263"/>
      <c r="D60" s="41" t="str">
        <f>[1]Blank42!D892</f>
        <v>All Obligations / EBITDA</v>
      </c>
      <c r="E60" s="384">
        <f>[1]Blank42!E892</f>
        <v>3.814473464602651</v>
      </c>
      <c r="F60" s="384">
        <f>[1]Blank42!F892</f>
        <v>3.2329321635067818</v>
      </c>
      <c r="G60" s="384">
        <f>[1]Blank42!G892</f>
        <v>2.6485526027543882</v>
      </c>
      <c r="H60" s="384">
        <f>[1]Blank42!H892</f>
        <v>2.061162777701278</v>
      </c>
      <c r="I60" s="384">
        <f>[1]Blank42!I892</f>
        <v>1.470665205245637</v>
      </c>
      <c r="J60" s="384">
        <f>[1]Blank42!J892</f>
        <v>0.87696516357814702</v>
      </c>
      <c r="K60" s="20"/>
      <c r="L60" s="263"/>
      <c r="M60" s="20"/>
      <c r="N60" s="20"/>
    </row>
    <row r="70" spans="1:1" ht="12" customHeight="1" x14ac:dyDescent="0.35">
      <c r="A70" s="234">
        <f ca="1">'[1]Valuation 1'!$A$44</f>
        <v>816414.83860721253</v>
      </c>
    </row>
  </sheetData>
  <mergeCells count="13">
    <mergeCell ref="C30:E30"/>
    <mergeCell ref="C31:E31"/>
    <mergeCell ref="H31:J32"/>
    <mergeCell ref="C32:E32"/>
    <mergeCell ref="C33:E33"/>
    <mergeCell ref="C34:E34"/>
    <mergeCell ref="L5:M5"/>
    <mergeCell ref="A9:B9"/>
    <mergeCell ref="J13:K14"/>
    <mergeCell ref="A19:B19"/>
    <mergeCell ref="A28:B28"/>
    <mergeCell ref="C28:E28"/>
    <mergeCell ref="K28:L29"/>
  </mergeCells>
  <conditionalFormatting sqref="A1">
    <cfRule type="expression" dxfId="8" priority="1" stopIfTrue="1">
      <formula>"$j$462"</formula>
    </cfRule>
  </conditionalFormatting>
  <pageMargins left="0.75" right="0.75" top="1" bottom="1" header="0.5" footer="0.5"/>
  <pageSetup scale="86"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CAFF-E222-4C2E-951C-9C9DFD9AE1B8}">
  <sheetPr codeName="Sheet12">
    <pageSetUpPr fitToPage="1"/>
  </sheetPr>
  <dimension ref="A1:N57"/>
  <sheetViews>
    <sheetView showGridLines="0" zoomScaleNormal="100" workbookViewId="0"/>
  </sheetViews>
  <sheetFormatPr defaultRowHeight="12.75" x14ac:dyDescent="0.35"/>
  <cols>
    <col min="1" max="1" width="12.69140625" style="1" customWidth="1"/>
    <col min="2" max="3" width="9.23046875" style="1"/>
    <col min="4" max="4" width="10.765625" style="1" customWidth="1"/>
    <col min="5" max="5" width="11.3828125" style="1" customWidth="1"/>
    <col min="6" max="10" width="12.1523437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7.649999999999999" x14ac:dyDescent="0.5">
      <c r="A2" s="4" t="str">
        <f>[1]Blank42!A164</f>
        <v>Company:</v>
      </c>
      <c r="B2" s="238" t="str">
        <f>[1]Blank42!B164</f>
        <v>Best Business, Inc.</v>
      </c>
      <c r="C2" s="282"/>
      <c r="D2" s="283"/>
      <c r="F2" s="292" t="s">
        <v>69</v>
      </c>
    </row>
    <row r="3" spans="1:14" ht="15" customHeight="1" x14ac:dyDescent="0.35">
      <c r="A3" s="4" t="str">
        <f>[1]Blank42!A163</f>
        <v>Prepared for:</v>
      </c>
      <c r="B3" s="243" t="str">
        <f>[1]Blank42!B163</f>
        <v>Mr. Client</v>
      </c>
      <c r="C3" s="282"/>
      <c r="D3" s="283"/>
      <c r="E3" s="4" t="str">
        <f>[1]Blank42!H164</f>
        <v>Prepared by:</v>
      </c>
      <c r="F3" s="243" t="str">
        <f>[1]Blank42!I164</f>
        <v>Illinois Corporate Investments Inc.</v>
      </c>
      <c r="G3" s="245"/>
      <c r="H3" s="245"/>
      <c r="I3" s="245"/>
      <c r="J3" s="4" t="str">
        <f>[1]Blank42!E164</f>
        <v>Preparer:</v>
      </c>
      <c r="K3" s="243" t="str">
        <f>[1]Blank42!F164</f>
        <v>Mr. Professional</v>
      </c>
    </row>
    <row r="4" spans="1:14" ht="6" customHeight="1" x14ac:dyDescent="0.35">
      <c r="C4" s="282"/>
      <c r="D4" s="283"/>
    </row>
    <row r="5" spans="1:14" ht="12" customHeight="1" x14ac:dyDescent="0.35">
      <c r="C5" s="282"/>
      <c r="D5" s="283"/>
      <c r="L5" s="248">
        <f ca="1">[1]Blank42!K163</f>
        <v>44412.60115613426</v>
      </c>
      <c r="M5" s="248"/>
      <c r="N5" s="4" t="s">
        <v>70</v>
      </c>
    </row>
    <row r="6" spans="1:14" ht="13.15" x14ac:dyDescent="0.4">
      <c r="A6" s="249"/>
      <c r="B6" s="249"/>
      <c r="C6" s="249"/>
      <c r="D6" s="249"/>
      <c r="E6" s="249"/>
      <c r="F6" s="140" t="str">
        <f>[1]Blank42!F166</f>
        <v>Year1</v>
      </c>
      <c r="G6" s="140" t="str">
        <f>[1]Blank42!G166</f>
        <v>Year2</v>
      </c>
      <c r="H6" s="140" t="str">
        <f>[1]Blank42!H166</f>
        <v>Year3</v>
      </c>
      <c r="I6" s="140" t="str">
        <f>[1]Blank42!I166</f>
        <v>Year4</v>
      </c>
      <c r="J6" s="140" t="str">
        <f>[1]Blank42!J166</f>
        <v>Year5</v>
      </c>
      <c r="K6" s="249"/>
      <c r="L6" s="249"/>
      <c r="M6" s="249"/>
      <c r="N6" s="249"/>
    </row>
    <row r="7" spans="1:14" ht="6" customHeight="1" x14ac:dyDescent="0.35">
      <c r="A7" s="20"/>
      <c r="B7" s="20"/>
      <c r="C7" s="20"/>
      <c r="D7" s="251"/>
      <c r="E7" s="20"/>
      <c r="F7" s="56"/>
      <c r="G7" s="56"/>
      <c r="H7" s="56"/>
      <c r="I7" s="56"/>
      <c r="J7" s="56"/>
      <c r="K7" s="20"/>
      <c r="L7" s="20"/>
      <c r="M7" s="20"/>
      <c r="N7" s="20"/>
    </row>
    <row r="8" spans="1:14" ht="12.75" customHeight="1" x14ac:dyDescent="0.4">
      <c r="A8" s="293"/>
      <c r="B8" s="20"/>
      <c r="C8" s="20"/>
      <c r="D8" s="251"/>
      <c r="E8" s="294" t="s">
        <v>71</v>
      </c>
      <c r="F8" s="56"/>
      <c r="G8" s="56"/>
      <c r="H8" s="56"/>
      <c r="I8" s="56"/>
      <c r="J8" s="56"/>
      <c r="K8" s="20"/>
      <c r="L8" s="20"/>
      <c r="M8" s="20"/>
      <c r="N8" s="20"/>
    </row>
    <row r="9" spans="1:14" x14ac:dyDescent="0.35">
      <c r="A9" s="20"/>
      <c r="B9" s="20"/>
      <c r="C9" s="20"/>
      <c r="D9" s="20"/>
      <c r="E9" s="263" t="str">
        <f>[1]Blank42!E168</f>
        <v>Net Income</v>
      </c>
      <c r="F9" s="68">
        <f>IF([1]Blank42!F168=0,FIXED(0,0,0),[1]Blank42!F168)</f>
        <v>97.218252939531553</v>
      </c>
      <c r="G9" s="68">
        <f>IF([1]Blank42!G168=0,FIXED(0,0,0),[1]Blank42!G168)</f>
        <v>149.63151372450014</v>
      </c>
      <c r="H9" s="68">
        <f>IF([1]Blank42!H168=0,FIXED(0,0,0),[1]Blank42!H168)</f>
        <v>207.11420979307854</v>
      </c>
      <c r="I9" s="68">
        <f>IF([1]Blank42!I168=0,FIXED(0,0,0),[1]Blank42!I168)</f>
        <v>270.06811967128567</v>
      </c>
      <c r="J9" s="68">
        <f>IF([1]Blank42!J168=0,FIXED(0,0,0),[1]Blank42!J168)</f>
        <v>338.91795404776406</v>
      </c>
      <c r="K9" s="20"/>
      <c r="L9" s="20"/>
      <c r="M9" s="20"/>
      <c r="N9" s="20"/>
    </row>
    <row r="10" spans="1:14" x14ac:dyDescent="0.35">
      <c r="A10" s="20"/>
      <c r="B10" s="20"/>
      <c r="C10" s="20"/>
      <c r="D10" s="20"/>
      <c r="E10" s="263" t="str">
        <f>[1]Blank42!E169</f>
        <v>Depreciation</v>
      </c>
      <c r="F10" s="68">
        <f>IF([1]Blank42!F169=0,FIXED(0,0,0),[1]Blank42!F169)</f>
        <v>215.75</v>
      </c>
      <c r="G10" s="68">
        <f>IF([1]Blank42!G169=0,FIXED(0,0,0),[1]Blank42!G169)</f>
        <v>232.28750000000002</v>
      </c>
      <c r="H10" s="68">
        <f>IF([1]Blank42!H169=0,FIXED(0,0,0),[1]Blank42!H169)</f>
        <v>249.65187500000002</v>
      </c>
      <c r="I10" s="68">
        <f>IF([1]Blank42!I169=0,FIXED(0,0,0),[1]Blank42!I169)</f>
        <v>267.88446875</v>
      </c>
      <c r="J10" s="68">
        <f>IF([1]Blank42!J169=0,FIXED(0,0,0),[1]Blank42!J169)</f>
        <v>287.02869218750004</v>
      </c>
      <c r="K10" s="20"/>
      <c r="L10" s="20"/>
      <c r="M10" s="20"/>
      <c r="N10" s="20"/>
    </row>
    <row r="11" spans="1:14" x14ac:dyDescent="0.35">
      <c r="A11" s="20"/>
      <c r="B11" s="20"/>
      <c r="C11" s="20"/>
      <c r="D11" s="20"/>
      <c r="E11" s="263" t="str">
        <f>[1]Blank42!E170</f>
        <v>Non-Compete Amortization</v>
      </c>
      <c r="F11" s="68" t="str">
        <f>IF([1]Blank42!F170=0,FIXED(0,0,0),[1]Blank42!F170)</f>
        <v>0</v>
      </c>
      <c r="G11" s="68" t="str">
        <f>IF([1]Blank42!G170=0,FIXED(0,0,0),[1]Blank42!G170)</f>
        <v>0</v>
      </c>
      <c r="H11" s="68" t="str">
        <f>IF([1]Blank42!H170=0,FIXED(0,0,0),[1]Blank42!H170)</f>
        <v>0</v>
      </c>
      <c r="I11" s="68" t="str">
        <f>IF([1]Blank42!I170=0,FIXED(0,0,0),[1]Blank42!I170)</f>
        <v>0</v>
      </c>
      <c r="J11" s="68" t="str">
        <f>IF([1]Blank42!J170=0,FIXED(0,0,0),[1]Blank42!J170)</f>
        <v>0</v>
      </c>
      <c r="K11" s="20"/>
      <c r="L11" s="20"/>
      <c r="M11" s="20"/>
      <c r="N11" s="20"/>
    </row>
    <row r="12" spans="1:14" x14ac:dyDescent="0.35">
      <c r="A12" s="20"/>
      <c r="B12" s="20"/>
      <c r="C12" s="20"/>
      <c r="D12" s="20"/>
      <c r="E12" s="263" t="str">
        <f>[1]Blank42!E171</f>
        <v>Personal Goodwill Amortization</v>
      </c>
      <c r="F12" s="68" t="str">
        <f>IF([1]Blank42!F171=0,FIXED(0,0,0),[1]Blank42!F171)</f>
        <v>0</v>
      </c>
      <c r="G12" s="68" t="str">
        <f>IF([1]Blank42!G171=0,FIXED(0,0,0),[1]Blank42!G171)</f>
        <v>0</v>
      </c>
      <c r="H12" s="68" t="str">
        <f>IF([1]Blank42!H171=0,FIXED(0,0,0),[1]Blank42!H171)</f>
        <v>0</v>
      </c>
      <c r="I12" s="68" t="str">
        <f>IF([1]Blank42!I171=0,FIXED(0,0,0),[1]Blank42!I171)</f>
        <v>0</v>
      </c>
      <c r="J12" s="68" t="str">
        <f>IF([1]Blank42!J171=0,FIXED(0,0,0),[1]Blank42!J171)</f>
        <v>0</v>
      </c>
      <c r="K12" s="20"/>
      <c r="L12" s="20"/>
      <c r="M12" s="20"/>
      <c r="N12" s="20"/>
    </row>
    <row r="13" spans="1:14" x14ac:dyDescent="0.35">
      <c r="A13" s="20"/>
      <c r="B13" s="20"/>
      <c r="C13" s="20"/>
      <c r="D13" s="20"/>
      <c r="E13" s="56" t="str">
        <f>[1]Blank42!E172</f>
        <v>Prepaid Consulting Amortization</v>
      </c>
      <c r="F13" s="68" t="str">
        <f>IF([1]Blank42!F172=0,FIXED(0,0,0),[1]Blank42!F172)</f>
        <v>0</v>
      </c>
      <c r="G13" s="68" t="str">
        <f>IF([1]Blank42!G172=0,FIXED(0,0,0),[1]Blank42!G172)</f>
        <v>0</v>
      </c>
      <c r="H13" s="68" t="str">
        <f>IF([1]Blank42!H172=0,FIXED(0,0,0),[1]Blank42!H172)</f>
        <v>0</v>
      </c>
      <c r="I13" s="68" t="str">
        <f>IF([1]Blank42!I172=0,FIXED(0,0,0),[1]Blank42!I172)</f>
        <v>0</v>
      </c>
      <c r="J13" s="68" t="str">
        <f>IF([1]Blank42!J172=0,FIXED(0,0,0),[1]Blank42!J172)</f>
        <v>0</v>
      </c>
      <c r="K13" s="20"/>
      <c r="L13" s="20"/>
      <c r="M13" s="20"/>
      <c r="N13" s="20"/>
    </row>
    <row r="14" spans="1:14" x14ac:dyDescent="0.35">
      <c r="A14" s="20"/>
      <c r="B14" s="20"/>
      <c r="C14" s="20"/>
      <c r="D14" s="20"/>
      <c r="E14" s="263" t="str">
        <f>[1]Blank42!E173</f>
        <v>Acquisition Cost Amortization</v>
      </c>
      <c r="F14" s="68">
        <f>IF([1]Blank42!F173=0,FIXED(0,0,0),[1]Blank42!F173)</f>
        <v>14.690560591944694</v>
      </c>
      <c r="G14" s="68">
        <f>IF([1]Blank42!G173=0,FIXED(0,0,0),[1]Blank42!G173)</f>
        <v>14.690560591944694</v>
      </c>
      <c r="H14" s="68">
        <f>IF([1]Blank42!H173=0,FIXED(0,0,0),[1]Blank42!H173)</f>
        <v>14.690560591944694</v>
      </c>
      <c r="I14" s="68">
        <f>IF([1]Blank42!I173=0,FIXED(0,0,0),[1]Blank42!I173)</f>
        <v>14.690560591944694</v>
      </c>
      <c r="J14" s="68">
        <f>IF([1]Blank42!J173=0,FIXED(0,0,0),[1]Blank42!J173)</f>
        <v>14.690560591944694</v>
      </c>
      <c r="K14" s="20"/>
      <c r="L14" s="20"/>
      <c r="M14" s="20"/>
      <c r="N14" s="20"/>
    </row>
    <row r="15" spans="1:14" x14ac:dyDescent="0.35">
      <c r="A15" s="20"/>
      <c r="B15" s="20"/>
      <c r="C15" s="20"/>
      <c r="D15" s="20"/>
      <c r="E15" s="263" t="str">
        <f>[1]Blank42!E174</f>
        <v>Goodwill Amortization</v>
      </c>
      <c r="F15" s="68">
        <f>IF([1]Blank42!F174=0,FIXED(0,0,0),[1]Blank42!F174)</f>
        <v>164.84267653241156</v>
      </c>
      <c r="G15" s="68">
        <f>IF([1]Blank42!G174=0,FIXED(0,0,0),[1]Blank42!G174)</f>
        <v>164.84267653241156</v>
      </c>
      <c r="H15" s="68">
        <f>IF([1]Blank42!H174=0,FIXED(0,0,0),[1]Blank42!H174)</f>
        <v>164.84267653241156</v>
      </c>
      <c r="I15" s="68">
        <f>IF([1]Blank42!I174=0,FIXED(0,0,0),[1]Blank42!I174)</f>
        <v>164.84267653241156</v>
      </c>
      <c r="J15" s="68">
        <f>IF([1]Blank42!J174=0,FIXED(0,0,0),[1]Blank42!J174)</f>
        <v>164.84267653241156</v>
      </c>
      <c r="K15" s="20"/>
      <c r="L15" s="20"/>
      <c r="M15" s="20"/>
      <c r="N15" s="20"/>
    </row>
    <row r="16" spans="1:14" ht="14.65" x14ac:dyDescent="0.6">
      <c r="A16" s="20"/>
      <c r="B16" s="20"/>
      <c r="C16" s="20"/>
      <c r="D16" s="20"/>
      <c r="E16" s="263" t="str">
        <f>[1]Blank42!E175</f>
        <v>WC Change</v>
      </c>
      <c r="F16" s="58">
        <f>IF([1]Blank42!F175=0,FIXED(0,0,0),[1]Blank42!F175)</f>
        <v>-60</v>
      </c>
      <c r="G16" s="58">
        <f>IF([1]Blank42!G175=0,FIXED(0,0,0),[1]Blank42!G175)</f>
        <v>-63</v>
      </c>
      <c r="H16" s="58">
        <f>IF([1]Blank42!H175=0,FIXED(0,0,0),[1]Blank42!H175)</f>
        <v>-66.150000000000091</v>
      </c>
      <c r="I16" s="58">
        <f>IF([1]Blank42!I175=0,FIXED(0,0,0),[1]Blank42!I175)</f>
        <v>-69.457499999999982</v>
      </c>
      <c r="J16" s="58">
        <f>IF([1]Blank42!J175=0,FIXED(0,0,0),[1]Blank42!J175)</f>
        <v>-72.930375000000367</v>
      </c>
      <c r="K16" s="20"/>
      <c r="L16" s="20"/>
      <c r="M16" s="20"/>
      <c r="N16" s="20"/>
    </row>
    <row r="17" spans="1:14" ht="13.5" x14ac:dyDescent="0.45">
      <c r="A17" s="20"/>
      <c r="B17" s="20"/>
      <c r="C17" s="20"/>
      <c r="D17" s="20"/>
      <c r="E17" s="263" t="s">
        <v>72</v>
      </c>
      <c r="F17" s="268">
        <f>IF(SUM(F9:F16)=0,FIXED(0,0,0),SUM(F9:F16))</f>
        <v>432.50149006388779</v>
      </c>
      <c r="G17" s="268">
        <f>IF(SUM(G9:G16)=0,FIXED(0,0,0),SUM(G9:G16))</f>
        <v>498.45225084885635</v>
      </c>
      <c r="H17" s="268">
        <f>IF(SUM(H9:H16)=0,FIXED(0,0,0),SUM(H9:H16))</f>
        <v>570.14932191743469</v>
      </c>
      <c r="I17" s="268">
        <f>IF(SUM(I9:I16)=0,FIXED(0,0,0),SUM(I9:I16))</f>
        <v>648.02832554564202</v>
      </c>
      <c r="J17" s="268">
        <f>IF(SUM(J9:J16)=0,FIXED(0,0,0),SUM(J9:J16))</f>
        <v>732.54950835962006</v>
      </c>
      <c r="K17" s="20"/>
      <c r="L17" s="20"/>
      <c r="M17" s="20"/>
      <c r="N17" s="20"/>
    </row>
    <row r="18" spans="1:14" ht="6.75" customHeight="1" x14ac:dyDescent="0.35">
      <c r="A18" s="20"/>
      <c r="B18" s="20"/>
      <c r="C18" s="20"/>
      <c r="D18" s="20"/>
      <c r="E18" s="263"/>
      <c r="F18" s="43"/>
      <c r="G18" s="43"/>
      <c r="H18" s="43"/>
      <c r="I18" s="43"/>
      <c r="J18" s="43"/>
      <c r="K18" s="20"/>
      <c r="L18" s="20"/>
      <c r="M18" s="20"/>
      <c r="N18" s="20"/>
    </row>
    <row r="19" spans="1:14" ht="13.15" x14ac:dyDescent="0.4">
      <c r="A19" s="20"/>
      <c r="B19" s="20"/>
      <c r="C19" s="20"/>
      <c r="D19" s="20"/>
      <c r="E19" s="23" t="s">
        <v>73</v>
      </c>
      <c r="F19" s="43"/>
      <c r="G19" s="43"/>
      <c r="H19" s="43"/>
      <c r="I19" s="43"/>
      <c r="J19" s="43"/>
      <c r="K19" s="20"/>
      <c r="L19" s="20"/>
      <c r="M19" s="20"/>
      <c r="N19" s="20"/>
    </row>
    <row r="20" spans="1:14" x14ac:dyDescent="0.35">
      <c r="A20" s="20"/>
      <c r="B20" s="20"/>
      <c r="C20" s="20"/>
      <c r="D20" s="20"/>
      <c r="E20" s="263" t="str">
        <f>[1]Blank42!E184</f>
        <v>Capital Expenditure</v>
      </c>
      <c r="F20" s="68">
        <f>IF([1]Blank42!F184=0,FIXED(0,0,0),[1]Blank42!F184)</f>
        <v>-78.75</v>
      </c>
      <c r="G20" s="68">
        <f>IF([1]Blank42!G184=0,FIXED(0,0,0),[1]Blank42!G184)</f>
        <v>-82.6875</v>
      </c>
      <c r="H20" s="68">
        <f>IF([1]Blank42!H184=0,FIXED(0,0,0),[1]Blank42!H184)</f>
        <v>-86.821875000000006</v>
      </c>
      <c r="I20" s="68">
        <f>IF([1]Blank42!I184=0,FIXED(0,0,0),[1]Blank42!I184)</f>
        <v>-91.162968750000005</v>
      </c>
      <c r="J20" s="68">
        <f>IF([1]Blank42!J184=0,FIXED(0,0,0),[1]Blank42!J184)</f>
        <v>-95.721117187499999</v>
      </c>
      <c r="K20" s="20"/>
      <c r="L20" s="20"/>
      <c r="M20" s="20"/>
      <c r="N20" s="20"/>
    </row>
    <row r="21" spans="1:14" x14ac:dyDescent="0.35">
      <c r="A21" s="20"/>
      <c r="B21" s="20"/>
      <c r="C21" s="20"/>
      <c r="D21" s="20"/>
      <c r="E21" s="56" t="str">
        <f>[1]Blank42!E187</f>
        <v>Earn-out Payments: Price Adj.</v>
      </c>
      <c r="F21" s="68" t="str">
        <f>IF([1]Blank42!F187=0,FIXED(0,0,0),[1]Blank42!F187)</f>
        <v>0</v>
      </c>
      <c r="G21" s="68" t="str">
        <f>IF([1]Blank42!G187=0,FIXED(0,0,0),[1]Blank42!G187)</f>
        <v>0</v>
      </c>
      <c r="H21" s="68" t="str">
        <f>IF([1]Blank42!H187=0,FIXED(0,0,0),[1]Blank42!H187)</f>
        <v>0</v>
      </c>
      <c r="I21" s="68" t="str">
        <f>IF([1]Blank42!I187=0,FIXED(0,0,0),[1]Blank42!I187)</f>
        <v>0</v>
      </c>
      <c r="J21" s="68" t="str">
        <f>IF([1]Blank42!J187=0,FIXED(0,0,0),[1]Blank42!J187)</f>
        <v>0</v>
      </c>
      <c r="K21" s="20"/>
      <c r="L21" s="20"/>
      <c r="M21" s="20"/>
      <c r="N21" s="20"/>
    </row>
    <row r="22" spans="1:14" x14ac:dyDescent="0.35">
      <c r="A22" s="20"/>
      <c r="B22" s="20"/>
      <c r="C22" s="20"/>
      <c r="D22" s="20"/>
      <c r="E22" s="56" t="str">
        <f>[1]Blank42!E182</f>
        <v>Remaining Non-Compete Payment</v>
      </c>
      <c r="F22" s="68" t="str">
        <f>IF([1]Blank42!F182=0,FIXED(0,0,0),[1]Blank42!F182)</f>
        <v>0</v>
      </c>
      <c r="G22" s="68" t="str">
        <f>IF([1]Blank42!G182=0,FIXED(0,0,0),[1]Blank42!G182)</f>
        <v>0</v>
      </c>
      <c r="H22" s="68" t="str">
        <f>IF([1]Blank42!H182=0,FIXED(0,0,0),[1]Blank42!H182)</f>
        <v>0</v>
      </c>
      <c r="I22" s="68" t="str">
        <f>IF([1]Blank42!I182=0,FIXED(0,0,0),[1]Blank42!I182)</f>
        <v>0</v>
      </c>
      <c r="J22" s="68" t="str">
        <f>IF([1]Blank42!J182=0,FIXED(0,0,0),[1]Blank42!J182)</f>
        <v>0</v>
      </c>
      <c r="K22" s="20"/>
      <c r="L22" s="20"/>
      <c r="M22" s="20"/>
      <c r="N22" s="20"/>
    </row>
    <row r="23" spans="1:14" ht="14.65" x14ac:dyDescent="0.6">
      <c r="A23" s="20"/>
      <c r="B23" s="20"/>
      <c r="C23" s="20"/>
      <c r="D23" s="20"/>
      <c r="E23" s="56" t="str">
        <f>[1]Blank42!E183</f>
        <v>Remaining Personal Goodwill Payment</v>
      </c>
      <c r="F23" s="58" t="str">
        <f>IF([1]Blank42!F183=0,FIXED(0,0,0),[1]Blank42!F183)</f>
        <v>0</v>
      </c>
      <c r="G23" s="58" t="str">
        <f>IF([1]Blank42!G183=0,FIXED(0,0,0),[1]Blank42!G183)</f>
        <v>0</v>
      </c>
      <c r="H23" s="58" t="str">
        <f>IF([1]Blank42!H183=0,FIXED(0,0,0),[1]Blank42!H183)</f>
        <v>0</v>
      </c>
      <c r="I23" s="58" t="str">
        <f>IF([1]Blank42!I183=0,FIXED(0,0,0),[1]Blank42!I183)</f>
        <v>0</v>
      </c>
      <c r="J23" s="58" t="str">
        <f>IF([1]Blank42!J183=0,FIXED(0,0,0),[1]Blank42!J183)</f>
        <v>0</v>
      </c>
      <c r="K23" s="20"/>
      <c r="L23" s="20"/>
      <c r="M23" s="20"/>
      <c r="N23" s="20"/>
    </row>
    <row r="24" spans="1:14" ht="13.5" x14ac:dyDescent="0.45">
      <c r="A24" s="20"/>
      <c r="B24" s="20"/>
      <c r="C24" s="20"/>
      <c r="D24" s="20"/>
      <c r="E24" s="56" t="s">
        <v>74</v>
      </c>
      <c r="F24" s="268">
        <f>IF(SUM(F20:F23)=0,FIXED(0,0,0),SUM(F20:F23))</f>
        <v>-78.75</v>
      </c>
      <c r="G24" s="268">
        <f>IF(SUM(G20:G23)=0,FIXED(0,0,0),SUM(G20:G23))</f>
        <v>-82.6875</v>
      </c>
      <c r="H24" s="268">
        <f>IF(SUM(H20:H23)=0,FIXED(0,0,0),SUM(H20:H23))</f>
        <v>-86.821875000000006</v>
      </c>
      <c r="I24" s="268">
        <f>IF(SUM(I20:I23)=0,FIXED(0,0,0),SUM(I20:I23))</f>
        <v>-91.162968750000005</v>
      </c>
      <c r="J24" s="268">
        <f>IF(SUM(J20:J23)=0,FIXED(0,0,0),SUM(J20:J23))</f>
        <v>-95.721117187499999</v>
      </c>
      <c r="K24" s="20"/>
      <c r="L24" s="20"/>
      <c r="M24" s="20"/>
      <c r="N24" s="20"/>
    </row>
    <row r="25" spans="1:14" ht="6.75" customHeight="1" x14ac:dyDescent="0.35">
      <c r="A25" s="20"/>
      <c r="B25" s="20"/>
      <c r="C25" s="20"/>
      <c r="D25" s="20"/>
      <c r="E25" s="56"/>
      <c r="F25" s="43"/>
      <c r="G25" s="43"/>
      <c r="H25" s="43"/>
      <c r="I25" s="43"/>
      <c r="J25" s="43"/>
      <c r="K25" s="20"/>
      <c r="L25" s="20"/>
      <c r="M25" s="20"/>
      <c r="N25" s="20"/>
    </row>
    <row r="26" spans="1:14" ht="13.15" x14ac:dyDescent="0.4">
      <c r="A26" s="20"/>
      <c r="B26" s="20"/>
      <c r="C26" s="20"/>
      <c r="D26" s="20"/>
      <c r="E26" s="23" t="s">
        <v>75</v>
      </c>
      <c r="F26" s="43"/>
      <c r="G26" s="43"/>
      <c r="H26" s="43"/>
      <c r="I26" s="43"/>
      <c r="J26" s="43"/>
      <c r="K26" s="20"/>
      <c r="L26" s="20"/>
      <c r="M26" s="20"/>
      <c r="N26" s="20"/>
    </row>
    <row r="27" spans="1:14" x14ac:dyDescent="0.35">
      <c r="A27" s="20"/>
      <c r="B27" s="20"/>
      <c r="C27" s="20"/>
      <c r="D27" s="20"/>
      <c r="E27" s="56" t="str">
        <f>[1]Blank42!E201</f>
        <v>Additional Revolver</v>
      </c>
      <c r="F27" s="45">
        <f>IF([1]Blank42!F201=0,FIXED(0,0,0),[1]Blank42!F201)</f>
        <v>42</v>
      </c>
      <c r="G27" s="45">
        <f>IF([1]Blank42!G201=0,FIXED(0,0,0),[1]Blank42!G201)</f>
        <v>10.458874331341391</v>
      </c>
      <c r="H27" s="45" t="str">
        <f>IF([1]Blank42!H201=0,FIXED(0,0,0),[1]Blank42!H201)</f>
        <v>0</v>
      </c>
      <c r="I27" s="45" t="str">
        <f>IF([1]Blank42!I201=0,FIXED(0,0,0),[1]Blank42!I201)</f>
        <v>0</v>
      </c>
      <c r="J27" s="45" t="str">
        <f>IF([1]Blank42!J201=0,FIXED(0,0,0),[1]Blank42!J201)</f>
        <v>0</v>
      </c>
      <c r="K27" s="20"/>
      <c r="L27" s="20"/>
      <c r="M27" s="20"/>
      <c r="N27" s="20"/>
    </row>
    <row r="28" spans="1:14" x14ac:dyDescent="0.35">
      <c r="A28" s="20"/>
      <c r="B28" s="20"/>
      <c r="C28" s="20"/>
      <c r="D28" s="20"/>
      <c r="E28" s="263" t="str">
        <f>[1]Blank42!E176</f>
        <v>Revolver Paydown due to WC</v>
      </c>
      <c r="F28" s="68" t="str">
        <f>IF([1]Blank42!F176=0,FIXED(0,0,0),[1]Blank42!F176)</f>
        <v>0</v>
      </c>
      <c r="G28" s="68" t="str">
        <f>IF([1]Blank42!G176=0,FIXED(0,0,0),[1]Blank42!G176)</f>
        <v>0</v>
      </c>
      <c r="H28" s="68" t="str">
        <f>IF([1]Blank42!H176=0,FIXED(0,0,0),[1]Blank42!H176)</f>
        <v>0</v>
      </c>
      <c r="I28" s="68" t="str">
        <f>IF([1]Blank42!I176=0,FIXED(0,0,0),[1]Blank42!I176)</f>
        <v>0</v>
      </c>
      <c r="J28" s="68" t="str">
        <f>IF([1]Blank42!J176=0,FIXED(0,0,0),[1]Blank42!J176)</f>
        <v>0</v>
      </c>
      <c r="K28" s="20"/>
      <c r="L28" s="20"/>
      <c r="M28" s="20"/>
      <c r="N28" s="20"/>
    </row>
    <row r="29" spans="1:14" x14ac:dyDescent="0.35">
      <c r="A29" s="20"/>
      <c r="B29" s="20"/>
      <c r="C29" s="20"/>
      <c r="D29" s="20"/>
      <c r="E29" s="56" t="str">
        <f>[1]Blank42!E208</f>
        <v>Add'l Revolver Paydown</v>
      </c>
      <c r="F29" s="45" t="str">
        <f>IF([1]Blank42!F208=0,FIXED(0,0,0),[1]Blank42!F208)</f>
        <v>0</v>
      </c>
      <c r="G29" s="45" t="str">
        <f>IF([1]Blank42!G208=0,FIXED(0,0,0),[1]Blank42!G208)</f>
        <v>0</v>
      </c>
      <c r="H29" s="45">
        <f>IF([1]Blank42!H208=0,FIXED(0,0,0),[1]Blank42!H208)</f>
        <v>-24.188243309805586</v>
      </c>
      <c r="I29" s="45">
        <f>IF([1]Blank42!I208=0,FIXED(0,0,0),[1]Blank42!I208)</f>
        <v>-62.125964236730056</v>
      </c>
      <c r="J29" s="45">
        <f>IF([1]Blank42!J208=0,FIXED(0,0,0),[1]Blank42!J208)</f>
        <v>-103.60950861261662</v>
      </c>
      <c r="K29" s="20"/>
      <c r="L29" s="20"/>
      <c r="M29" s="20"/>
      <c r="N29" s="20"/>
    </row>
    <row r="30" spans="1:14" x14ac:dyDescent="0.35">
      <c r="A30" s="20"/>
      <c r="B30" s="20"/>
      <c r="C30" s="20"/>
      <c r="D30" s="20"/>
      <c r="E30" s="56" t="str">
        <f>[1]Blank42!E177</f>
        <v>Term Loan Payment</v>
      </c>
      <c r="F30" s="68">
        <f>IF([1]Blank42!F216=0,FIXED(0,0,0),[1]Blank42!F216)</f>
        <v>-160</v>
      </c>
      <c r="G30" s="68">
        <f>IF([1]Blank42!G216=0,FIXED(0,0,0),[1]Blank42!G216)</f>
        <v>-160</v>
      </c>
      <c r="H30" s="68">
        <f>IF([1]Blank42!H216=0,FIXED(0,0,0),[1]Blank42!H216)</f>
        <v>-160</v>
      </c>
      <c r="I30" s="68">
        <f>IF([1]Blank42!I216=0,FIXED(0,0,0),[1]Blank42!I216)</f>
        <v>-160</v>
      </c>
      <c r="J30" s="68">
        <f>IF([1]Blank42!J216=0,FIXED(0,0,0),[1]Blank42!J216)</f>
        <v>-160</v>
      </c>
      <c r="K30" s="20"/>
      <c r="L30" s="20"/>
      <c r="M30" s="20"/>
      <c r="N30" s="20"/>
    </row>
    <row r="31" spans="1:14" x14ac:dyDescent="0.35">
      <c r="A31" s="20"/>
      <c r="B31" s="20"/>
      <c r="C31" s="20"/>
      <c r="D31" s="20"/>
      <c r="E31" s="56" t="str">
        <f>[1]Blank42!E209</f>
        <v>Add'l Term Loan Paydown</v>
      </c>
      <c r="F31" s="45" t="str">
        <f>IF([1]Blank42!F209=0,FIXED(0,0,0),[1]Blank42!F209)</f>
        <v>0</v>
      </c>
      <c r="G31" s="45" t="str">
        <f>IF([1]Blank42!G209=0,FIXED(0,0,0),[1]Blank42!G209)</f>
        <v>0</v>
      </c>
      <c r="H31" s="45" t="str">
        <f>IF([1]Blank42!H209=0,FIXED(0,0,0),[1]Blank42!H209)</f>
        <v>0</v>
      </c>
      <c r="I31" s="45" t="str">
        <f>IF([1]Blank42!I209=0,FIXED(0,0,0),[1]Blank42!I209)</f>
        <v>0</v>
      </c>
      <c r="J31" s="45" t="str">
        <f>IF([1]Blank42!J209=0,FIXED(0,0,0),[1]Blank42!J209)</f>
        <v>0</v>
      </c>
      <c r="K31" s="20"/>
      <c r="L31" s="20"/>
      <c r="M31" s="20"/>
      <c r="N31" s="20"/>
    </row>
    <row r="32" spans="1:14" x14ac:dyDescent="0.35">
      <c r="A32" s="20"/>
      <c r="B32" s="20"/>
      <c r="C32" s="20"/>
      <c r="D32" s="20"/>
      <c r="E32" s="56" t="str">
        <f>[1]Blank42!E178</f>
        <v>Over Advance Loan Payment</v>
      </c>
      <c r="F32" s="68" t="str">
        <f>IF([1]Blank42!F217=0,FIXED(0,0,0),[1]Blank42!F217)</f>
        <v>0</v>
      </c>
      <c r="G32" s="68" t="str">
        <f>IF([1]Blank42!G217=0,FIXED(0,0,0),[1]Blank42!G217)</f>
        <v>0</v>
      </c>
      <c r="H32" s="68" t="str">
        <f>IF([1]Blank42!H217=0,FIXED(0,0,0),[1]Blank42!H217)</f>
        <v>0</v>
      </c>
      <c r="I32" s="68" t="str">
        <f>IF([1]Blank42!I217=0,FIXED(0,0,0),[1]Blank42!I217)</f>
        <v>0</v>
      </c>
      <c r="J32" s="68" t="str">
        <f>IF([1]Blank42!J217=0,FIXED(0,0,0),[1]Blank42!J217)</f>
        <v>0</v>
      </c>
      <c r="K32" s="20"/>
      <c r="L32" s="20"/>
      <c r="M32" s="20"/>
      <c r="N32" s="20"/>
    </row>
    <row r="33" spans="1:14" x14ac:dyDescent="0.35">
      <c r="A33" s="20"/>
      <c r="B33" s="20"/>
      <c r="C33" s="20"/>
      <c r="D33" s="20"/>
      <c r="E33" s="56" t="str">
        <f>[1]Blank42!E207</f>
        <v>Add'l Over Advance Loan Paydown</v>
      </c>
      <c r="F33" s="45" t="str">
        <f>IF([1]Blank42!F207=0,FIXED(0,0,0),[1]Blank42!F207)</f>
        <v>0</v>
      </c>
      <c r="G33" s="45" t="str">
        <f>IF([1]Blank42!G207=0,FIXED(0,0,0),[1]Blank42!G207)</f>
        <v>0</v>
      </c>
      <c r="H33" s="45" t="str">
        <f>IF([1]Blank42!H207=0,FIXED(0,0,0),[1]Blank42!H207)</f>
        <v>0</v>
      </c>
      <c r="I33" s="45" t="str">
        <f>IF([1]Blank42!I207=0,FIXED(0,0,0),[1]Blank42!I207)</f>
        <v>0</v>
      </c>
      <c r="J33" s="45" t="str">
        <f>IF([1]Blank42!J207=0,FIXED(0,0,0),[1]Blank42!J207)</f>
        <v>0</v>
      </c>
      <c r="K33" s="20"/>
      <c r="L33" s="20"/>
      <c r="M33" s="20"/>
      <c r="N33" s="20"/>
    </row>
    <row r="34" spans="1:14" x14ac:dyDescent="0.35">
      <c r="A34" s="20"/>
      <c r="B34" s="20"/>
      <c r="C34" s="20"/>
      <c r="D34" s="20"/>
      <c r="E34" s="56" t="str">
        <f>[1]Blank42!E179</f>
        <v>Mezzanine Financing Payment</v>
      </c>
      <c r="F34" s="68" t="str">
        <f>IF([1]Blank42!F218=0,FIXED(0,0,0),[1]Blank42!F218)</f>
        <v>0</v>
      </c>
      <c r="G34" s="68" t="str">
        <f>IF([1]Blank42!G218=0,FIXED(0,0,0),[1]Blank42!G218)</f>
        <v>0</v>
      </c>
      <c r="H34" s="68" t="str">
        <f>IF([1]Blank42!H218=0,FIXED(0,0,0),[1]Blank42!H218)</f>
        <v>0</v>
      </c>
      <c r="I34" s="68" t="str">
        <f>IF([1]Blank42!I218=0,FIXED(0,0,0),[1]Blank42!I218)</f>
        <v>0</v>
      </c>
      <c r="J34" s="68" t="str">
        <f>IF([1]Blank42!J218=0,FIXED(0,0,0),[1]Blank42!J218)</f>
        <v>0</v>
      </c>
      <c r="K34" s="20"/>
      <c r="L34" s="20"/>
      <c r="M34" s="20"/>
      <c r="N34" s="20"/>
    </row>
    <row r="35" spans="1:14" x14ac:dyDescent="0.35">
      <c r="A35" s="20"/>
      <c r="B35" s="20"/>
      <c r="C35" s="20"/>
      <c r="D35" s="20"/>
      <c r="E35" s="56" t="str">
        <f>[1]Blank42!E180</f>
        <v>Gap(Seller) Note Payment</v>
      </c>
      <c r="F35" s="68">
        <f>IF([1]Blank42!F219=0,FIXED(0,0,0),[1]Blank42!F219)</f>
        <v>-244.17101969039769</v>
      </c>
      <c r="G35" s="68">
        <f>IF([1]Blank42!G219=0,FIXED(0,0,0),[1]Blank42!G219)</f>
        <v>-244.17101969039769</v>
      </c>
      <c r="H35" s="68">
        <f>IF([1]Blank42!H219=0,FIXED(0,0,0),[1]Blank42!H219)</f>
        <v>-244.17101969039769</v>
      </c>
      <c r="I35" s="68">
        <f>IF([1]Blank42!I219=0,FIXED(0,0,0),[1]Blank42!I219)</f>
        <v>-244.17101969039769</v>
      </c>
      <c r="J35" s="68">
        <f>IF([1]Blank42!J219=0,FIXED(0,0,0),[1]Blank42!J219)</f>
        <v>-244.17101969039774</v>
      </c>
      <c r="K35" s="20"/>
      <c r="L35" s="20"/>
      <c r="M35" s="20"/>
      <c r="N35" s="20"/>
    </row>
    <row r="36" spans="1:14" x14ac:dyDescent="0.35">
      <c r="A36" s="20"/>
      <c r="B36" s="20"/>
      <c r="C36" s="20"/>
      <c r="D36" s="20"/>
      <c r="E36" s="56" t="str">
        <f>[1]Blank42!E181</f>
        <v>Gap(Seller) Balloon Note Payment</v>
      </c>
      <c r="F36" s="68" t="str">
        <f>IF([1]Blank42!F181=0,FIXED(0,0,0),[1]Blank42!F181)</f>
        <v>0</v>
      </c>
      <c r="G36" s="68" t="str">
        <f>IF([1]Blank42!G181=0,FIXED(0,0,0),[1]Blank42!G181)</f>
        <v>0</v>
      </c>
      <c r="H36" s="68" t="str">
        <f>IF([1]Blank42!H181=0,FIXED(0,0,0),[1]Blank42!H181)</f>
        <v>0</v>
      </c>
      <c r="I36" s="68" t="str">
        <f>IF([1]Blank42!I181=0,FIXED(0,0,0),[1]Blank42!I181)</f>
        <v>0</v>
      </c>
      <c r="J36" s="68" t="str">
        <f>IF([1]Blank42!J181=0,FIXED(0,0,0),[1]Blank42!J181)</f>
        <v>0</v>
      </c>
      <c r="K36" s="20"/>
      <c r="L36" s="20"/>
      <c r="M36" s="20"/>
      <c r="N36" s="20"/>
    </row>
    <row r="37" spans="1:14" x14ac:dyDescent="0.35">
      <c r="A37" s="20"/>
      <c r="B37" s="20"/>
      <c r="C37" s="20"/>
      <c r="D37" s="20"/>
      <c r="E37" s="56" t="str">
        <f>[1]Blank42!E211</f>
        <v>Add'l Gap(Seller) Note Paydown</v>
      </c>
      <c r="F37" s="45" t="str">
        <f>IF([1]Blank42!F211=0,FIXED(0,0,0),[1]Blank42!F211)</f>
        <v>0</v>
      </c>
      <c r="G37" s="45" t="str">
        <f>IF([1]Blank42!G211=0,FIXED(0,0,0),[1]Blank42!G211)</f>
        <v>0</v>
      </c>
      <c r="H37" s="45" t="str">
        <f>IF([1]Blank42!H211=0,FIXED(0,0,0),[1]Blank42!H211)</f>
        <v>0</v>
      </c>
      <c r="I37" s="45" t="str">
        <f>IF([1]Blank42!I211=0,FIXED(0,0,0),[1]Blank42!I211)</f>
        <v>0</v>
      </c>
      <c r="J37" s="45" t="str">
        <f>IF([1]Blank42!J211=0,FIXED(0,0,0),[1]Blank42!J211)</f>
        <v>0</v>
      </c>
      <c r="K37" s="20"/>
      <c r="L37" s="20"/>
      <c r="M37" s="20"/>
      <c r="N37" s="20"/>
    </row>
    <row r="38" spans="1:14" x14ac:dyDescent="0.35">
      <c r="A38" s="20"/>
      <c r="B38" s="20"/>
      <c r="C38" s="20"/>
      <c r="D38" s="20"/>
      <c r="E38" s="263" t="str">
        <f>[1]Blank42!E185</f>
        <v>Capital Exp Borrowing</v>
      </c>
      <c r="F38" s="68">
        <f>IF([1]Blank42!F185=0,FIXED(0,0,0),[1]Blank42!F185)</f>
        <v>59.0625</v>
      </c>
      <c r="G38" s="68">
        <f>IF([1]Blank42!G185=0,FIXED(0,0,0),[1]Blank42!G185)</f>
        <v>62.015625</v>
      </c>
      <c r="H38" s="68">
        <f>IF([1]Blank42!H185=0,FIXED(0,0,0),[1]Blank42!H185)</f>
        <v>65.116406250000011</v>
      </c>
      <c r="I38" s="68">
        <f>IF([1]Blank42!I185=0,FIXED(0,0,0),[1]Blank42!I185)</f>
        <v>68.372226562500003</v>
      </c>
      <c r="J38" s="68">
        <f>IF([1]Blank42!J185=0,FIXED(0,0,0),[1]Blank42!J185)</f>
        <v>71.790837890624999</v>
      </c>
      <c r="K38" s="257"/>
      <c r="L38" s="20"/>
      <c r="M38" s="20"/>
      <c r="N38" s="20"/>
    </row>
    <row r="39" spans="1:14" x14ac:dyDescent="0.35">
      <c r="A39" s="20"/>
      <c r="B39" s="20"/>
      <c r="C39" s="20"/>
      <c r="D39" s="20"/>
      <c r="E39" s="56" t="str">
        <f>[1]Blank42!E186</f>
        <v>Capital Exp Payments</v>
      </c>
      <c r="F39" s="68">
        <f>IF([1]Blank42!F186=0,FIXED(0,0,0),[1]Blank42!F186)</f>
        <v>-11.8125</v>
      </c>
      <c r="G39" s="68">
        <f>IF([1]Blank42!G186=0,FIXED(0,0,0),[1]Blank42!G186)</f>
        <v>-24.215624999999999</v>
      </c>
      <c r="H39" s="68">
        <f>IF([1]Blank42!H186=0,FIXED(0,0,0),[1]Blank42!H186)</f>
        <v>-37.238906249999999</v>
      </c>
      <c r="I39" s="68">
        <f>IF([1]Blank42!I186=0,FIXED(0,0,0),[1]Blank42!I186)</f>
        <v>-50.913351562499997</v>
      </c>
      <c r="J39" s="68">
        <f>IF([1]Blank42!J186=0,FIXED(0,0,0),[1]Blank42!J186)</f>
        <v>-65.271519140625003</v>
      </c>
      <c r="K39" s="20"/>
      <c r="L39" s="20"/>
      <c r="M39" s="20"/>
      <c r="N39" s="20"/>
    </row>
    <row r="40" spans="1:14" x14ac:dyDescent="0.35">
      <c r="A40" s="20"/>
      <c r="B40" s="20"/>
      <c r="C40" s="20"/>
      <c r="D40" s="20"/>
      <c r="E40" s="56" t="str">
        <f>[1]Blank42!E210</f>
        <v>Add'l New Cap Ex Paydown</v>
      </c>
      <c r="F40" s="45" t="str">
        <f>IF([1]Blank42!F210=0,FIXED(0,0,0),[1]Blank42!F210)</f>
        <v>0</v>
      </c>
      <c r="G40" s="45" t="str">
        <f>IF([1]Blank42!G210=0,FIXED(0,0,0),[1]Blank42!G210)</f>
        <v>0</v>
      </c>
      <c r="H40" s="45" t="str">
        <f>IF([1]Blank42!H210=0,FIXED(0,0,0),[1]Blank42!H210)</f>
        <v>0</v>
      </c>
      <c r="I40" s="45" t="str">
        <f>IF([1]Blank42!I210=0,FIXED(0,0,0),[1]Blank42!I210)</f>
        <v>0</v>
      </c>
      <c r="J40" s="45" t="str">
        <f>IF([1]Blank42!J210=0,FIXED(0,0,0),[1]Blank42!J210)</f>
        <v>0</v>
      </c>
      <c r="K40" s="20"/>
      <c r="L40" s="20"/>
      <c r="M40" s="20"/>
      <c r="N40" s="20"/>
    </row>
    <row r="41" spans="1:14" x14ac:dyDescent="0.35">
      <c r="A41" s="20"/>
      <c r="B41" s="20"/>
      <c r="C41" s="20"/>
      <c r="D41" s="20"/>
      <c r="E41" s="56" t="str">
        <f>[1]Blank42!E205</f>
        <v>Add'l Capital Contribution</v>
      </c>
      <c r="F41" s="45">
        <f>IF([1]Blank42!F205=0,FIXED(0,0,0),[1]Blank42!F205)</f>
        <v>5.68308023225228E-2</v>
      </c>
      <c r="G41" s="45" t="str">
        <f>IF([1]Blank42!G205=0,FIXED(0,0,0),[1]Blank42!G205)</f>
        <v>0</v>
      </c>
      <c r="H41" s="45" t="str">
        <f>IF([1]Blank42!H205=0,FIXED(0,0,0),[1]Blank42!H205)</f>
        <v>0</v>
      </c>
      <c r="I41" s="45" t="str">
        <f>IF([1]Blank42!I205=0,FIXED(0,0,0),[1]Blank42!I205)</f>
        <v>0</v>
      </c>
      <c r="J41" s="45" t="str">
        <f>IF([1]Blank42!J205=0,FIXED(0,0,0),[1]Blank42!J205)</f>
        <v>0</v>
      </c>
      <c r="K41" s="20"/>
      <c r="L41" s="20"/>
      <c r="M41" s="20"/>
      <c r="N41" s="20"/>
    </row>
    <row r="42" spans="1:14" x14ac:dyDescent="0.35">
      <c r="A42" s="20"/>
      <c r="B42" s="20"/>
      <c r="C42" s="20"/>
      <c r="D42" s="20"/>
      <c r="E42" s="56" t="str">
        <f>[1]Blank42!E206</f>
        <v>Dividend Distribution-Regular</v>
      </c>
      <c r="F42" s="45" t="str">
        <f>IF([1]Blank42!F206=0,FIXED(0,0,0),[1]Blank42!F206)</f>
        <v>0</v>
      </c>
      <c r="G42" s="45" t="str">
        <f>IF([1]Blank42!G206=0,FIXED(0,0,0),[1]Blank42!G206)</f>
        <v>0</v>
      </c>
      <c r="H42" s="45" t="str">
        <f>IF([1]Blank42!H206=0,FIXED(0,0,0),[1]Blank42!H206)</f>
        <v>0</v>
      </c>
      <c r="I42" s="45" t="str">
        <f>IF([1]Blank42!I206=0,FIXED(0,0,0),[1]Blank42!I206)</f>
        <v>0</v>
      </c>
      <c r="J42" s="45" t="str">
        <f>IF([1]Blank42!J206=0,FIXED(0,0,0),[1]Blank42!J206)</f>
        <v>0</v>
      </c>
      <c r="K42" s="20"/>
      <c r="L42" s="20"/>
      <c r="M42" s="20"/>
      <c r="N42" s="20"/>
    </row>
    <row r="43" spans="1:14" x14ac:dyDescent="0.35">
      <c r="A43" s="20"/>
      <c r="B43" s="20"/>
      <c r="C43" s="20"/>
      <c r="D43" s="20"/>
      <c r="E43" s="56" t="str">
        <f>[1]Blank42!E212</f>
        <v>Dividend Distribution-Add'l</v>
      </c>
      <c r="F43" s="45" t="str">
        <f>IF([1]Blank42!F212=0,FIXED(0,0,0),[1]Blank42!F212)</f>
        <v>0</v>
      </c>
      <c r="G43" s="45" t="str">
        <f>IF([1]Blank42!G212=0,FIXED(0,0,0),[1]Blank42!G212)</f>
        <v>0</v>
      </c>
      <c r="H43" s="45" t="str">
        <f>IF([1]Blank42!H212=0,FIXED(0,0,0),[1]Blank42!H212)</f>
        <v>0</v>
      </c>
      <c r="I43" s="45" t="str">
        <f>IF([1]Blank42!I212=0,FIXED(0,0,0),[1]Blank42!I212)</f>
        <v>0</v>
      </c>
      <c r="J43" s="45" t="str">
        <f>IF([1]Blank42!J212=0,FIXED(0,0,0),[1]Blank42!J212)</f>
        <v>0</v>
      </c>
      <c r="K43" s="20"/>
      <c r="L43" s="20"/>
      <c r="M43" s="20"/>
      <c r="N43" s="20"/>
    </row>
    <row r="44" spans="1:14" ht="14.65" x14ac:dyDescent="0.6">
      <c r="A44" s="20"/>
      <c r="B44" s="20"/>
      <c r="C44" s="20"/>
      <c r="D44" s="20"/>
      <c r="E44" s="263" t="str">
        <f>[1]Blank42!E188</f>
        <v>Distribution for S Shareholder Taxes</v>
      </c>
      <c r="F44" s="58">
        <f>IF([1]Blank42!F188=0,FIXED(0,0,0),[1]Blank42!F188)</f>
        <v>-38.887301175812624</v>
      </c>
      <c r="G44" s="58">
        <f>IF([1]Blank42!G188=0,FIXED(0,0,0),[1]Blank42!G188)</f>
        <v>-59.852605489800055</v>
      </c>
      <c r="H44" s="58">
        <f>IF([1]Blank42!H188=0,FIXED(0,0,0),[1]Blank42!H188)</f>
        <v>-82.845683917231426</v>
      </c>
      <c r="I44" s="58">
        <f>IF([1]Blank42!I188=0,FIXED(0,0,0),[1]Blank42!I188)</f>
        <v>-108.02724786851428</v>
      </c>
      <c r="J44" s="58">
        <f>IF([1]Blank42!J188=0,FIXED(0,0,0),[1]Blank42!J188)</f>
        <v>-135.56718161910564</v>
      </c>
      <c r="K44" s="20"/>
      <c r="L44" s="20"/>
      <c r="M44" s="20"/>
      <c r="N44" s="20"/>
    </row>
    <row r="45" spans="1:14" ht="13.5" x14ac:dyDescent="0.45">
      <c r="A45" s="20"/>
      <c r="B45" s="20"/>
      <c r="C45" s="20"/>
      <c r="D45" s="20"/>
      <c r="E45" s="263" t="s">
        <v>76</v>
      </c>
      <c r="F45" s="268">
        <f>IF(SUM(F27:F44)=0,FIXED(0,0,0),SUM(F27:F44))</f>
        <v>-353.75149006388779</v>
      </c>
      <c r="G45" s="268">
        <f>IF(SUM(G27:G44)=0,FIXED(0,0,0),SUM(G27:G44))</f>
        <v>-415.76475084885635</v>
      </c>
      <c r="H45" s="268">
        <f>IF(SUM(H27:H44)=0,FIXED(0,0,0),SUM(H27:H44))</f>
        <v>-483.32744691743471</v>
      </c>
      <c r="I45" s="268">
        <f>IF(SUM(I27:I44)=0,FIXED(0,0,0),SUM(I27:I44))</f>
        <v>-556.8653567956419</v>
      </c>
      <c r="J45" s="268">
        <f>IF(SUM(J27:J44)=0,FIXED(0,0,0),SUM(J27:J44))</f>
        <v>-636.82839117212006</v>
      </c>
      <c r="K45" s="20"/>
      <c r="L45" s="20"/>
      <c r="M45" s="20"/>
      <c r="N45" s="20"/>
    </row>
    <row r="46" spans="1:14" ht="6.75" customHeight="1" x14ac:dyDescent="0.35">
      <c r="A46" s="20"/>
      <c r="B46" s="20"/>
      <c r="C46" s="20"/>
      <c r="D46" s="20"/>
      <c r="E46" s="263"/>
      <c r="F46" s="295"/>
      <c r="G46" s="296"/>
      <c r="H46" s="296"/>
      <c r="I46" s="296"/>
      <c r="J46" s="296"/>
      <c r="K46" s="20"/>
      <c r="L46" s="20"/>
      <c r="M46" s="20"/>
      <c r="N46" s="20"/>
    </row>
    <row r="47" spans="1:14" x14ac:dyDescent="0.35">
      <c r="A47" s="20"/>
      <c r="B47" s="20"/>
      <c r="C47" s="20"/>
      <c r="D47" s="20"/>
      <c r="E47" s="263" t="s">
        <v>77</v>
      </c>
      <c r="F47" s="68" t="str">
        <f>IF((F17+F24+F45)=0, FIXED(0,0,0), F17+F24+F45)</f>
        <v>0</v>
      </c>
      <c r="G47" s="68" t="str">
        <f>IF((G17+G24+G45)=0, FIXED(0,0,0), G17+G24+G45)</f>
        <v>0</v>
      </c>
      <c r="H47" s="68" t="str">
        <f>IF((H17+H24+H45)=0, FIXED(0,0,0), H17+H24+H45)</f>
        <v>0</v>
      </c>
      <c r="I47" s="68">
        <f>IF((I17+I24+I45)=0, FIXED(0,0,0), I17+I24+I45)</f>
        <v>1.1368683772161603E-13</v>
      </c>
      <c r="J47" s="68" t="str">
        <f>IF((J17+J24+J45)=0, FIXED(0,0,0), J17+J24+J45)</f>
        <v>0</v>
      </c>
      <c r="K47" s="20"/>
      <c r="L47" s="20"/>
      <c r="M47" s="20"/>
      <c r="N47" s="20"/>
    </row>
    <row r="48" spans="1:14" ht="14.65" x14ac:dyDescent="0.6">
      <c r="A48" s="20"/>
      <c r="B48" s="20"/>
      <c r="C48" s="20"/>
      <c r="D48" s="20"/>
      <c r="E48" s="263" t="s">
        <v>78</v>
      </c>
      <c r="F48" s="50" t="str">
        <f>IF([1]Blank42!F190=0,FIXED(0,0,0),[1]Blank42!F190)</f>
        <v>0</v>
      </c>
      <c r="G48" s="50" t="str">
        <f>IF([1]Blank42!G190=0,FIXED(0,0,0),[1]Blank42!G190)</f>
        <v>0</v>
      </c>
      <c r="H48" s="50" t="str">
        <f>IF([1]Blank42!H190=0,FIXED(0,0,0),[1]Blank42!H190)</f>
        <v>0</v>
      </c>
      <c r="I48" s="50" t="str">
        <f>IF([1]Blank42!I190=0,FIXED(0,0,0),[1]Blank42!I190)</f>
        <v>0</v>
      </c>
      <c r="J48" s="50" t="str">
        <f>IF([1]Blank42!J190=0,FIXED(0,0,0),[1]Blank42!J190)</f>
        <v>0</v>
      </c>
      <c r="K48" s="20"/>
      <c r="L48" s="20"/>
      <c r="M48" s="20"/>
      <c r="N48" s="20"/>
    </row>
    <row r="49" spans="1:14" x14ac:dyDescent="0.35">
      <c r="A49" s="20"/>
      <c r="B49" s="20"/>
      <c r="C49" s="20"/>
      <c r="D49" s="20"/>
      <c r="E49" s="263" t="s">
        <v>79</v>
      </c>
      <c r="F49" s="68" t="str">
        <f>IF(SUM(F47:F48)=0,FIXED(0,0,0),SUM(F47:F48))</f>
        <v>0</v>
      </c>
      <c r="G49" s="68" t="str">
        <f>IF(SUM(G47:G48)=0,FIXED(0,0,0),SUM(G47:G48))</f>
        <v>0</v>
      </c>
      <c r="H49" s="68" t="str">
        <f>IF(SUM(H47:H48)=0,FIXED(0,0,0),SUM(H47:H48))</f>
        <v>0</v>
      </c>
      <c r="I49" s="68">
        <f>IF(SUM(I47:I48)=0,FIXED(0,0,0),SUM(I47:I48))</f>
        <v>1.1368683772161603E-13</v>
      </c>
      <c r="J49" s="68" t="str">
        <f>IF(SUM(J47:J48)=0,FIXED(0,0,0),SUM(J47:J48))</f>
        <v>0</v>
      </c>
      <c r="K49" s="20"/>
      <c r="L49" s="20"/>
      <c r="M49" s="20"/>
      <c r="N49" s="20"/>
    </row>
    <row r="50" spans="1:14" ht="6.75" customHeight="1" x14ac:dyDescent="0.35">
      <c r="A50" s="20"/>
      <c r="B50" s="20"/>
      <c r="C50" s="20"/>
      <c r="D50" s="20"/>
      <c r="E50" s="263"/>
      <c r="F50" s="295"/>
      <c r="G50" s="296"/>
      <c r="H50" s="296"/>
      <c r="I50" s="296"/>
      <c r="J50" s="296"/>
      <c r="K50" s="20"/>
      <c r="L50" s="20"/>
      <c r="M50" s="20"/>
      <c r="N50" s="20"/>
    </row>
    <row r="51" spans="1:14" ht="14.65" x14ac:dyDescent="0.6">
      <c r="A51" s="20"/>
      <c r="B51" s="20"/>
      <c r="C51" s="20"/>
      <c r="D51" s="20"/>
      <c r="E51" s="56" t="s">
        <v>80</v>
      </c>
      <c r="F51" s="58" t="str">
        <f>IF([1]Blank42!$E$277=0,FIXED(0,0,0),[1]Blank42!E277)</f>
        <v>0</v>
      </c>
      <c r="G51" s="278" t="str">
        <f>IF(F53=0, FIXED(0,0,0),F53)</f>
        <v>0</v>
      </c>
      <c r="H51" s="278" t="str">
        <f>IF(G53=0, FIXED(0,0,0),G53)</f>
        <v>0</v>
      </c>
      <c r="I51" s="278" t="str">
        <f>IF(H53=0, FIXED(0,0,0),H53)</f>
        <v>0</v>
      </c>
      <c r="J51" s="278">
        <f>IF(I53=0, FIXED(0,0,0),I53)</f>
        <v>1.1368683772161603E-13</v>
      </c>
      <c r="K51" s="20"/>
      <c r="L51" s="20"/>
      <c r="M51" s="20"/>
      <c r="N51" s="20"/>
    </row>
    <row r="52" spans="1:14" ht="6.75" customHeight="1" x14ac:dyDescent="0.35">
      <c r="A52" s="20"/>
      <c r="B52" s="20"/>
      <c r="C52" s="20"/>
      <c r="D52" s="20"/>
      <c r="E52" s="56"/>
      <c r="F52" s="295"/>
      <c r="G52" s="296"/>
      <c r="H52" s="296"/>
      <c r="I52" s="296"/>
      <c r="J52" s="296"/>
      <c r="K52" s="20"/>
      <c r="L52" s="20"/>
      <c r="M52" s="20"/>
      <c r="N52" s="20"/>
    </row>
    <row r="53" spans="1:14" ht="13.5" x14ac:dyDescent="0.45">
      <c r="A53" s="281" t="str">
        <f ca="1">ROUND(A57,0)&amp;[1]Blank42!O11</f>
        <v>8164150</v>
      </c>
      <c r="B53" s="270" t="str">
        <f>[1]Blank42!$A$9</f>
        <v>BVX®</v>
      </c>
      <c r="C53" s="20"/>
      <c r="D53" s="20"/>
      <c r="E53" s="263" t="s">
        <v>81</v>
      </c>
      <c r="F53" s="268" t="str">
        <f>IF((F49+F51)=0,FIXED(0,0,0),F49+F51)</f>
        <v>0</v>
      </c>
      <c r="G53" s="268" t="str">
        <f>IF((G49+G51)=0,FIXED(0,0,0),G49+G51)</f>
        <v>0</v>
      </c>
      <c r="H53" s="268" t="str">
        <f>IF((H49+H51)=0,FIXED(0,0,0),H49+H51)</f>
        <v>0</v>
      </c>
      <c r="I53" s="268">
        <f>IF((I49+I51)=0,FIXED(0,0,0),I49+I51)</f>
        <v>1.1368683772161603E-13</v>
      </c>
      <c r="J53" s="268">
        <f>IF((J49+J51)=0,FIXED(0,0,0),J49+J51)</f>
        <v>1.1368683772161603E-13</v>
      </c>
      <c r="K53" s="20"/>
      <c r="L53" s="20"/>
      <c r="M53" s="20"/>
      <c r="N53" s="20"/>
    </row>
    <row r="57" spans="1:14" x14ac:dyDescent="0.35">
      <c r="A57" s="234">
        <f ca="1">'[1]Valuation 1'!$A$44</f>
        <v>816414.83860721253</v>
      </c>
    </row>
  </sheetData>
  <mergeCells count="1">
    <mergeCell ref="L5:M5"/>
  </mergeCells>
  <conditionalFormatting sqref="A53">
    <cfRule type="expression" dxfId="11" priority="1" stopIfTrue="1">
      <formula>#REF!&lt;-0.001*$D$13</formula>
    </cfRule>
  </conditionalFormatting>
  <pageMargins left="0.75" right="0.75" top="1" bottom="1" header="0.5" footer="0.5"/>
  <pageSetup scale="73"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3AED-2333-4C11-91C2-2DBF6C559E1B}">
  <dimension ref="A1"/>
  <sheetViews>
    <sheetView workbookViewId="0"/>
  </sheetViews>
  <sheetFormatPr defaultRowHeight="13.15" x14ac:dyDescent="0.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F31F-D1A7-40D3-8518-4B0EEDD31022}">
  <sheetPr codeName="Sheet4">
    <pageSetUpPr fitToPage="1"/>
  </sheetPr>
  <dimension ref="A1:N61"/>
  <sheetViews>
    <sheetView showGridLines="0" zoomScaleNormal="100" workbookViewId="0"/>
  </sheetViews>
  <sheetFormatPr defaultRowHeight="12.75" x14ac:dyDescent="0.35"/>
  <cols>
    <col min="1" max="1" width="12.69140625" style="1" customWidth="1"/>
    <col min="2" max="3" width="9.23046875" style="1"/>
    <col min="4" max="9" width="12.15234375" style="1" customWidth="1"/>
    <col min="10" max="10" width="12.6914062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7.649999999999999" x14ac:dyDescent="0.5">
      <c r="A2" s="4" t="str">
        <f>[1]Blank42!A273</f>
        <v>Company:</v>
      </c>
      <c r="B2" s="238" t="str">
        <f>[1]Blank42!B273</f>
        <v>Best Business, Inc.</v>
      </c>
      <c r="C2" s="246"/>
      <c r="F2" s="239" t="str">
        <f>[1]Blank42!F272</f>
        <v>Balance Sheet Projections</v>
      </c>
      <c r="G2" s="247"/>
      <c r="H2" s="247"/>
      <c r="I2" s="247"/>
      <c r="J2" s="247"/>
    </row>
    <row r="3" spans="1:14" ht="15" customHeight="1" x14ac:dyDescent="0.35">
      <c r="A3" s="4" t="str">
        <f>[1]Blank42!A272</f>
        <v>Prepared for:</v>
      </c>
      <c r="B3" s="243" t="str">
        <f>[1]Blank42!B272</f>
        <v>Mr. Client</v>
      </c>
      <c r="C3" s="246"/>
      <c r="E3" s="271" t="str">
        <f>[1]Blank42!H273</f>
        <v>Prepared by:</v>
      </c>
      <c r="F3" s="272" t="str">
        <f>[1]Blank42!I273</f>
        <v>Illinois Corporate Investments Inc.</v>
      </c>
      <c r="G3" s="273"/>
      <c r="H3" s="245"/>
      <c r="I3" s="245"/>
      <c r="J3" s="4" t="str">
        <f>[1]Blank42!E273</f>
        <v>Preparer:</v>
      </c>
      <c r="K3" s="272" t="str">
        <f>[1]Blank42!F273</f>
        <v>Mr. Professional</v>
      </c>
    </row>
    <row r="4" spans="1:14" ht="6" customHeight="1" x14ac:dyDescent="0.35"/>
    <row r="5" spans="1:14" ht="12" customHeight="1" x14ac:dyDescent="0.35">
      <c r="L5" s="248">
        <f ca="1">[1]Blank42!K272</f>
        <v>44412.60115613426</v>
      </c>
      <c r="M5" s="248"/>
      <c r="N5" s="4" t="s">
        <v>64</v>
      </c>
    </row>
    <row r="6" spans="1:14" ht="13.15" x14ac:dyDescent="0.4">
      <c r="A6" s="139"/>
      <c r="B6" s="139"/>
      <c r="C6" s="139"/>
      <c r="D6" s="140" t="str">
        <f>[1]Blank42!D275</f>
        <v>Purchased</v>
      </c>
      <c r="E6" s="140" t="str">
        <f>[1]Blank42!E275</f>
        <v>Opening</v>
      </c>
      <c r="F6" s="140" t="str">
        <f>[1]Blank42!F275</f>
        <v>Year1</v>
      </c>
      <c r="G6" s="140" t="str">
        <f>[1]Blank42!G275</f>
        <v>Year2</v>
      </c>
      <c r="H6" s="140" t="str">
        <f>[1]Blank42!H275</f>
        <v>Year3</v>
      </c>
      <c r="I6" s="140" t="str">
        <f>[1]Blank42!I275</f>
        <v>Year4</v>
      </c>
      <c r="J6" s="140" t="str">
        <f>[1]Blank42!J275</f>
        <v>Year5</v>
      </c>
      <c r="K6" s="139"/>
      <c r="L6" s="139"/>
      <c r="M6" s="139"/>
      <c r="N6" s="139"/>
    </row>
    <row r="7" spans="1:14" ht="13.15" x14ac:dyDescent="0.4">
      <c r="A7" s="20"/>
      <c r="B7" s="274" t="str">
        <f>[1]Blank42!B276</f>
        <v>Assets</v>
      </c>
      <c r="C7" s="20"/>
      <c r="D7" s="20"/>
      <c r="E7" s="20"/>
      <c r="F7" s="20"/>
      <c r="G7" s="20"/>
      <c r="H7" s="20"/>
      <c r="I7" s="20"/>
      <c r="J7" s="20"/>
      <c r="K7" s="20"/>
      <c r="L7" s="20"/>
      <c r="M7" s="20"/>
      <c r="N7" s="20"/>
    </row>
    <row r="8" spans="1:14" x14ac:dyDescent="0.35">
      <c r="A8" s="20"/>
      <c r="B8" s="20"/>
      <c r="C8" s="56" t="str">
        <f>[1]Blank42!C277</f>
        <v>Cash</v>
      </c>
      <c r="D8" s="68" t="str">
        <f>IF([1]Blank42!D277=0,FIXED(0,0,0),[1]Blank42!D277)</f>
        <v>0</v>
      </c>
      <c r="E8" s="68" t="str">
        <f>IF([1]Blank42!E277=0,FIXED(0,0,0),[1]Blank42!E277)</f>
        <v>0</v>
      </c>
      <c r="F8" s="68" t="str">
        <f>IF([1]Blank42!F277=0,FIXED(0,0,0),[1]Blank42!F277)</f>
        <v>0</v>
      </c>
      <c r="G8" s="68" t="str">
        <f>IF([1]Blank42!G277=0,FIXED(0,0,0),[1]Blank42!G277)</f>
        <v>0</v>
      </c>
      <c r="H8" s="68" t="str">
        <f>IF([1]Blank42!H277=0,FIXED(0,0,0),[1]Blank42!H277)</f>
        <v>0</v>
      </c>
      <c r="I8" s="68" t="str">
        <f>IF([1]Blank42!I277=0,FIXED(0,0,0),[1]Blank42!I277)</f>
        <v>0</v>
      </c>
      <c r="J8" s="68" t="str">
        <f>IF([1]Blank42!J277=0,FIXED(0,0,0),[1]Blank42!J277)</f>
        <v>0</v>
      </c>
      <c r="K8" s="257"/>
      <c r="L8" s="257"/>
      <c r="M8" s="257"/>
      <c r="N8" s="257"/>
    </row>
    <row r="9" spans="1:14" x14ac:dyDescent="0.35">
      <c r="A9" s="20"/>
      <c r="B9" s="20"/>
      <c r="C9" s="56" t="str">
        <f>[1]Blank42!C278</f>
        <v>A/R</v>
      </c>
      <c r="D9" s="68">
        <f>IF([1]Blank42!D278=0,FIXED(0,0,0),[1]Blank42!D278)</f>
        <v>600</v>
      </c>
      <c r="E9" s="68">
        <f>IF([1]Blank42!E278=0,FIXED(0,0,0),[1]Blank42!E278)</f>
        <v>600</v>
      </c>
      <c r="F9" s="68">
        <f>IF([1]Blank42!F278=0,FIXED(0,0,0),[1]Blank42!F278)</f>
        <v>630</v>
      </c>
      <c r="G9" s="68">
        <f>IF([1]Blank42!G278=0,FIXED(0,0,0),[1]Blank42!G278)</f>
        <v>661.5</v>
      </c>
      <c r="H9" s="68">
        <f>IF([1]Blank42!H278=0,FIXED(0,0,0),[1]Blank42!H278)</f>
        <v>694.57500000000005</v>
      </c>
      <c r="I9" s="68">
        <f>IF([1]Blank42!I278=0,FIXED(0,0,0),[1]Blank42!I278)</f>
        <v>729.30375000000004</v>
      </c>
      <c r="J9" s="68">
        <f>IF([1]Blank42!J278=0,FIXED(0,0,0),[1]Blank42!J278)</f>
        <v>765.76893750000011</v>
      </c>
      <c r="K9" s="257"/>
      <c r="L9" s="257"/>
      <c r="M9" s="257"/>
      <c r="N9" s="257"/>
    </row>
    <row r="10" spans="1:14" x14ac:dyDescent="0.35">
      <c r="A10" s="20"/>
      <c r="B10" s="20"/>
      <c r="C10" s="56" t="str">
        <f>[1]Blank42!C279</f>
        <v>Inventory</v>
      </c>
      <c r="D10" s="68">
        <f>IF([1]Blank42!D279=0,FIXED(0,0,0),[1]Blank42!D279)</f>
        <v>900</v>
      </c>
      <c r="E10" s="68">
        <f>IF([1]Blank42!E279=0,FIXED(0,0,0),[1]Blank42!E279)</f>
        <v>900</v>
      </c>
      <c r="F10" s="68">
        <f>IF([1]Blank42!F279=0,FIXED(0,0,0),[1]Blank42!F279)</f>
        <v>945</v>
      </c>
      <c r="G10" s="68">
        <f>IF([1]Blank42!G279=0,FIXED(0,0,0),[1]Blank42!G279)</f>
        <v>992.25</v>
      </c>
      <c r="H10" s="68">
        <f>IF([1]Blank42!H279=0,FIXED(0,0,0),[1]Blank42!H279)</f>
        <v>1041.8625</v>
      </c>
      <c r="I10" s="68">
        <f>IF([1]Blank42!I279=0,FIXED(0,0,0),[1]Blank42!I279)</f>
        <v>1093.9556250000001</v>
      </c>
      <c r="J10" s="68">
        <f>IF([1]Blank42!J279=0,FIXED(0,0,0),[1]Blank42!J279)</f>
        <v>1148.6534062500002</v>
      </c>
      <c r="K10" s="257"/>
      <c r="L10" s="257"/>
      <c r="M10" s="257"/>
      <c r="N10" s="257"/>
    </row>
    <row r="11" spans="1:14" x14ac:dyDescent="0.35">
      <c r="A11" s="20"/>
      <c r="B11" s="20"/>
      <c r="C11" s="56" t="str">
        <f>[1]Blank42!C280</f>
        <v>Other Misc. Assets</v>
      </c>
      <c r="D11" s="68" t="str">
        <f>IF([1]Blank42!D280=0,FIXED(0,0,0),[1]Blank42!D280)</f>
        <v>0</v>
      </c>
      <c r="E11" s="68" t="str">
        <f>IF([1]Blank42!E280=0,FIXED(0,0,0),[1]Blank42!E280)</f>
        <v>0</v>
      </c>
      <c r="F11" s="68" t="str">
        <f>IF([1]Blank42!F280=0,FIXED(0,0,0),[1]Blank42!F280)</f>
        <v>0</v>
      </c>
      <c r="G11" s="68" t="str">
        <f>IF([1]Blank42!G280=0,FIXED(0,0,0),[1]Blank42!G280)</f>
        <v>0</v>
      </c>
      <c r="H11" s="68" t="str">
        <f>IF([1]Blank42!H280=0,FIXED(0,0,0),[1]Blank42!H280)</f>
        <v>0</v>
      </c>
      <c r="I11" s="68" t="str">
        <f>IF([1]Blank42!I280=0,FIXED(0,0,0),[1]Blank42!I280)</f>
        <v>0</v>
      </c>
      <c r="J11" s="68" t="str">
        <f>IF([1]Blank42!J280=0,FIXED(0,0,0),[1]Blank42!J280)</f>
        <v>0</v>
      </c>
      <c r="K11" s="257"/>
      <c r="L11" s="257"/>
      <c r="M11" s="257"/>
      <c r="N11" s="257"/>
    </row>
    <row r="12" spans="1:14" x14ac:dyDescent="0.35">
      <c r="A12" s="20"/>
      <c r="B12" s="20"/>
      <c r="C12" s="56" t="str">
        <f>[1]Blank42!C281</f>
        <v>Fixed Assets-Old</v>
      </c>
      <c r="D12" s="68" t="str">
        <f>IF([1]Blank42!D281=0,FIXED(0,0,0),[1]Blank42!D281)</f>
        <v>500</v>
      </c>
      <c r="E12" s="68" t="str">
        <f>IF([1]Blank42!E281=0,FIXED(0,0,0),[1]Blank42!E281)</f>
        <v>1000</v>
      </c>
      <c r="F12" s="68" t="str">
        <f>IF([1]Blank42!F281=0,FIXED(0,0,0),[1]Blank42!F281)</f>
        <v>1000</v>
      </c>
      <c r="G12" s="68" t="str">
        <f>IF([1]Blank42!G281=0,FIXED(0,0,0),[1]Blank42!G281)</f>
        <v>1000</v>
      </c>
      <c r="H12" s="68" t="str">
        <f>IF([1]Blank42!H281=0,FIXED(0,0,0),[1]Blank42!H281)</f>
        <v>1000</v>
      </c>
      <c r="I12" s="68" t="str">
        <f>IF([1]Blank42!I281=0,FIXED(0,0,0),[1]Blank42!I281)</f>
        <v>1000</v>
      </c>
      <c r="J12" s="68" t="str">
        <f>IF([1]Blank42!J281=0,FIXED(0,0,0),[1]Blank42!J281)</f>
        <v>1000</v>
      </c>
      <c r="K12" s="257"/>
      <c r="L12" s="257"/>
      <c r="M12" s="257"/>
      <c r="N12" s="257"/>
    </row>
    <row r="13" spans="1:14" x14ac:dyDescent="0.35">
      <c r="A13" s="20"/>
      <c r="B13" s="20"/>
      <c r="C13" s="56" t="str">
        <f>[1]Blank42!C282</f>
        <v>A/D-Old</v>
      </c>
      <c r="D13" s="68"/>
      <c r="E13" s="68" t="str">
        <f>IF([1]Blank42!E282=0,FIXED(0,0,0),[1]Blank42!E282)</f>
        <v>0</v>
      </c>
      <c r="F13" s="68">
        <f>IF([1]Blank42!F282=0,FIXED(0,0,0),[1]Blank42!F282)</f>
        <v>-200</v>
      </c>
      <c r="G13" s="68">
        <f>IF([1]Blank42!G282=0,FIXED(0,0,0),[1]Blank42!G282)</f>
        <v>-400</v>
      </c>
      <c r="H13" s="68">
        <f>IF([1]Blank42!H282=0,FIXED(0,0,0),[1]Blank42!H282)</f>
        <v>-600</v>
      </c>
      <c r="I13" s="68">
        <f>IF([1]Blank42!I282=0,FIXED(0,0,0),[1]Blank42!I282)</f>
        <v>-800</v>
      </c>
      <c r="J13" s="68">
        <f>IF([1]Blank42!J282=0,FIXED(0,0,0),[1]Blank42!J282)</f>
        <v>-1000</v>
      </c>
      <c r="K13" s="257"/>
      <c r="L13" s="20"/>
      <c r="M13" s="20"/>
      <c r="N13" s="20"/>
    </row>
    <row r="14" spans="1:14" x14ac:dyDescent="0.35">
      <c r="A14" s="20"/>
      <c r="B14" s="20"/>
      <c r="C14" s="56" t="str">
        <f>[1]Blank42!C283</f>
        <v>New Fixed Assets</v>
      </c>
      <c r="D14" s="68"/>
      <c r="E14" s="68" t="str">
        <f>IF([1]Blank42!E283=0,FIXED(0,0,0),[1]Blank42!E283)</f>
        <v>0</v>
      </c>
      <c r="F14" s="68">
        <f>IF([1]Blank42!F283=0,FIXED(0,0,0),[1]Blank42!F283)</f>
        <v>78.75</v>
      </c>
      <c r="G14" s="68">
        <f>IF([1]Blank42!G283=0,FIXED(0,0,0),[1]Blank42!G283)</f>
        <v>161.4375</v>
      </c>
      <c r="H14" s="68">
        <f>IF([1]Blank42!H283=0,FIXED(0,0,0),[1]Blank42!H283)</f>
        <v>248.25937500000001</v>
      </c>
      <c r="I14" s="68">
        <f>IF([1]Blank42!I283=0,FIXED(0,0,0),[1]Blank42!I283)</f>
        <v>339.42234374999998</v>
      </c>
      <c r="J14" s="68">
        <f>IF([1]Blank42!J283=0,FIXED(0,0,0),[1]Blank42!J283)</f>
        <v>435.14346093749998</v>
      </c>
      <c r="K14" s="257"/>
      <c r="L14" s="257"/>
      <c r="M14" s="257"/>
      <c r="N14" s="257"/>
    </row>
    <row r="15" spans="1:14" x14ac:dyDescent="0.35">
      <c r="A15" s="20"/>
      <c r="B15" s="20"/>
      <c r="C15" s="56" t="str">
        <f>[1]Blank42!C284</f>
        <v>A/D-New Fixed Assets</v>
      </c>
      <c r="D15" s="68"/>
      <c r="E15" s="68" t="str">
        <f>IF([1]Blank42!E284=0,FIXED(0,0,0),[1]Blank42!E284)</f>
        <v>0</v>
      </c>
      <c r="F15" s="68">
        <f>IF([1]Blank42!F284=0,FIXED(0,0,0),[1]Blank42!F284)</f>
        <v>-15.75</v>
      </c>
      <c r="G15" s="68">
        <f>IF([1]Blank42!G284=0,FIXED(0,0,0),[1]Blank42!G284)</f>
        <v>-48.037500000000001</v>
      </c>
      <c r="H15" s="68">
        <f>IF([1]Blank42!H284=0,FIXED(0,0,0),[1]Blank42!H284)</f>
        <v>-97.689375000000013</v>
      </c>
      <c r="I15" s="68">
        <f>IF([1]Blank42!I284=0,FIXED(0,0,0),[1]Blank42!I284)</f>
        <v>-165.57384375000001</v>
      </c>
      <c r="J15" s="68">
        <f>IF([1]Blank42!J284=0,FIXED(0,0,0),[1]Blank42!J284)</f>
        <v>-252.60253593749999</v>
      </c>
      <c r="K15" s="257"/>
      <c r="L15" s="257"/>
      <c r="M15" s="257"/>
      <c r="N15" s="257"/>
    </row>
    <row r="16" spans="1:14" x14ac:dyDescent="0.35">
      <c r="A16" s="20"/>
      <c r="B16" s="20"/>
      <c r="C16" s="56" t="str">
        <f>[1]Blank42!C285</f>
        <v>Acquisition Expenses</v>
      </c>
      <c r="D16" s="68"/>
      <c r="E16" s="68">
        <f>IF([1]Blank42!E285=0,FIXED(0,0,0),[1]Blank42!E285)</f>
        <v>73.452802959723471</v>
      </c>
      <c r="F16" s="68">
        <f>IF([1]Blank42!F285=0,FIXED(0,0,0),[1]Blank42!F285)</f>
        <v>58.762242367778775</v>
      </c>
      <c r="G16" s="68">
        <f>IF([1]Blank42!G285=0,FIXED(0,0,0),[1]Blank42!G285)</f>
        <v>44.07168177583408</v>
      </c>
      <c r="H16" s="68">
        <f>IF([1]Blank42!H285=0,FIXED(0,0,0),[1]Blank42!H285)</f>
        <v>29.381121183889384</v>
      </c>
      <c r="I16" s="68">
        <f>IF([1]Blank42!I285=0,FIXED(0,0,0),[1]Blank42!I285)</f>
        <v>14.69056059194469</v>
      </c>
      <c r="J16" s="68" t="str">
        <f>IF([1]Blank42!J285=0,FIXED(0,0,0),[1]Blank42!J285)</f>
        <v>0</v>
      </c>
      <c r="K16" s="257"/>
      <c r="L16" s="257"/>
      <c r="M16" s="257"/>
      <c r="N16" s="257"/>
    </row>
    <row r="17" spans="1:14" x14ac:dyDescent="0.35">
      <c r="A17" s="20"/>
      <c r="B17" s="20"/>
      <c r="C17" s="56" t="str">
        <f>[1]Blank42!C286</f>
        <v>Non-Compete</v>
      </c>
      <c r="D17" s="68"/>
      <c r="E17" s="68" t="str">
        <f>IF([1]Blank42!E286=0,FIXED(0,0,0),[1]Blank42!E286)</f>
        <v>0</v>
      </c>
      <c r="F17" s="68" t="str">
        <f>IF([1]Blank42!F286=0,FIXED(0,0,0),[1]Blank42!F286)</f>
        <v>0</v>
      </c>
      <c r="G17" s="68" t="str">
        <f>IF([1]Blank42!G286=0,FIXED(0,0,0),[1]Blank42!G286)</f>
        <v>0</v>
      </c>
      <c r="H17" s="68" t="str">
        <f>IF([1]Blank42!H286=0,FIXED(0,0,0),[1]Blank42!H286)</f>
        <v>0</v>
      </c>
      <c r="I17" s="68" t="str">
        <f>IF([1]Blank42!I286=0,FIXED(0,0,0),[1]Blank42!I286)</f>
        <v>0</v>
      </c>
      <c r="J17" s="68" t="str">
        <f>IF([1]Blank42!J286=0,FIXED(0,0,0),[1]Blank42!J286)</f>
        <v>0</v>
      </c>
      <c r="K17" s="257"/>
      <c r="L17" s="257"/>
      <c r="M17" s="257"/>
      <c r="N17" s="257"/>
    </row>
    <row r="18" spans="1:14" x14ac:dyDescent="0.35">
      <c r="A18" s="20"/>
      <c r="B18" s="20"/>
      <c r="C18" s="56" t="str">
        <f>[1]Blank42!C287</f>
        <v>Personal Goodwill</v>
      </c>
      <c r="D18" s="68"/>
      <c r="E18" s="68" t="str">
        <f>IF([1]Blank42!E287=0,FIXED(0,0,0),[1]Blank42!E287)</f>
        <v>0</v>
      </c>
      <c r="F18" s="68" t="str">
        <f>IF([1]Blank42!F287=0,FIXED(0,0,0),[1]Blank42!F287)</f>
        <v>0</v>
      </c>
      <c r="G18" s="68" t="str">
        <f>IF([1]Blank42!G287=0,FIXED(0,0,0),[1]Blank42!G287)</f>
        <v>0</v>
      </c>
      <c r="H18" s="68" t="str">
        <f>IF([1]Blank42!H287=0,FIXED(0,0,0),[1]Blank42!H287)</f>
        <v>0</v>
      </c>
      <c r="I18" s="68" t="str">
        <f>IF([1]Blank42!I287=0,FIXED(0,0,0),[1]Blank42!I287)</f>
        <v>0</v>
      </c>
      <c r="J18" s="68" t="str">
        <f>IF([1]Blank42!J287=0,FIXED(0,0,0),[1]Blank42!J287)</f>
        <v>0</v>
      </c>
      <c r="K18" s="257"/>
      <c r="L18" s="257"/>
      <c r="M18" s="257"/>
      <c r="N18" s="257"/>
    </row>
    <row r="19" spans="1:14" x14ac:dyDescent="0.35">
      <c r="A19" s="20"/>
      <c r="B19" s="20"/>
      <c r="C19" s="56" t="str">
        <f>[1]Blank42!C288</f>
        <v>Remaining Consulting</v>
      </c>
      <c r="D19" s="68"/>
      <c r="E19" s="68" t="str">
        <f>IF([1]Blank42!E288=0,FIXED(0,0,0),[1]Blank42!E288)</f>
        <v>0</v>
      </c>
      <c r="F19" s="68" t="str">
        <f>IF([1]Blank42!F288=0,FIXED(0,0,0),[1]Blank42!F288)</f>
        <v>0</v>
      </c>
      <c r="G19" s="68" t="str">
        <f>IF([1]Blank42!G288=0,FIXED(0,0,0),[1]Blank42!G288)</f>
        <v>0</v>
      </c>
      <c r="H19" s="68" t="str">
        <f>IF([1]Blank42!H288=0,FIXED(0,0,0),[1]Blank42!H288)</f>
        <v>0</v>
      </c>
      <c r="I19" s="68" t="str">
        <f>IF([1]Blank42!I288=0,FIXED(0,0,0),[1]Blank42!I288)</f>
        <v>0</v>
      </c>
      <c r="J19" s="68" t="str">
        <f>IF([1]Blank42!J288=0,FIXED(0,0,0),[1]Blank42!J288)</f>
        <v>0</v>
      </c>
      <c r="K19" s="257"/>
      <c r="L19" s="257"/>
      <c r="M19" s="257"/>
      <c r="N19" s="257"/>
    </row>
    <row r="20" spans="1:14" x14ac:dyDescent="0.35">
      <c r="A20" s="20"/>
      <c r="B20" s="20"/>
      <c r="C20" s="56" t="str">
        <f>[1]Blank42!C289</f>
        <v>Prepaid Consulting</v>
      </c>
      <c r="D20" s="68"/>
      <c r="E20" s="68" t="str">
        <f>IF([1]Blank42!E289=0,FIXED(0,0,0),[1]Blank42!E289)</f>
        <v>0</v>
      </c>
      <c r="F20" s="68" t="str">
        <f>IF([1]Blank42!F289=0,FIXED(0,0,0),[1]Blank42!F289)</f>
        <v>0</v>
      </c>
      <c r="G20" s="68" t="str">
        <f>IF([1]Blank42!G289=0,FIXED(0,0,0),[1]Blank42!G289)</f>
        <v>0</v>
      </c>
      <c r="H20" s="68" t="str">
        <f>IF([1]Blank42!H289=0,FIXED(0,0,0),[1]Blank42!H289)</f>
        <v>0</v>
      </c>
      <c r="I20" s="68" t="str">
        <f>IF([1]Blank42!I289=0,FIXED(0,0,0),[1]Blank42!I289)</f>
        <v>0</v>
      </c>
      <c r="J20" s="68" t="str">
        <f>IF([1]Blank42!J289=0,FIXED(0,0,0),[1]Blank42!J289)</f>
        <v>0</v>
      </c>
      <c r="K20" s="257"/>
      <c r="L20" s="257"/>
      <c r="M20" s="257"/>
      <c r="N20" s="257"/>
    </row>
    <row r="21" spans="1:14" x14ac:dyDescent="0.35">
      <c r="A21" s="20"/>
      <c r="B21" s="20"/>
      <c r="C21" s="56" t="str">
        <f>[1]Blank42!C290</f>
        <v>Investment in RE Entity</v>
      </c>
      <c r="D21" s="68"/>
      <c r="E21" s="68" t="str">
        <f>IF([1]Blank42!E290=0,FIXED(0,0,0),[1]Blank42!E290)</f>
        <v>0</v>
      </c>
      <c r="F21" s="68" t="str">
        <f>IF([1]Blank42!F290=0,FIXED(0,0,0),[1]Blank42!F290)</f>
        <v>0</v>
      </c>
      <c r="G21" s="68" t="str">
        <f>IF([1]Blank42!G290=0,FIXED(0,0,0),[1]Blank42!G290)</f>
        <v>0</v>
      </c>
      <c r="H21" s="68" t="str">
        <f>IF([1]Blank42!H290=0,FIXED(0,0,0),[1]Blank42!H290)</f>
        <v>0</v>
      </c>
      <c r="I21" s="68" t="str">
        <f>IF([1]Blank42!I290=0,FIXED(0,0,0),[1]Blank42!I290)</f>
        <v>0</v>
      </c>
      <c r="J21" s="68" t="str">
        <f>IF([1]Blank42!J290=0,FIXED(0,0,0),[1]Blank42!J290)</f>
        <v>0</v>
      </c>
      <c r="K21" s="257"/>
      <c r="L21" s="257"/>
      <c r="M21" s="257"/>
      <c r="N21" s="257"/>
    </row>
    <row r="22" spans="1:14" ht="14.65" x14ac:dyDescent="0.6">
      <c r="A22" s="20"/>
      <c r="B22" s="20"/>
      <c r="C22" s="56" t="str">
        <f>[1]Blank42!C291</f>
        <v>Goodwill</v>
      </c>
      <c r="D22" s="58" t="str">
        <f>IF([1]Blank42!D291=0,FIXED(0,0,0),[1]Blank42!D291)</f>
        <v>0</v>
      </c>
      <c r="E22" s="58">
        <f>IF([1]Blank42!E291=0,FIXED(0,0,0),[1]Blank42!E291)</f>
        <v>2472.6401479861734</v>
      </c>
      <c r="F22" s="58">
        <f>IF([1]Blank42!F291=0,FIXED(0,0,0),[1]Blank42!F291)</f>
        <v>2307.7974714537618</v>
      </c>
      <c r="G22" s="58">
        <f>IF([1]Blank42!G291=0,FIXED(0,0,0),[1]Blank42!G291)</f>
        <v>2142.9547949213502</v>
      </c>
      <c r="H22" s="58">
        <f>IF([1]Blank42!H291=0,FIXED(0,0,0),[1]Blank42!H291)</f>
        <v>1978.1121183889386</v>
      </c>
      <c r="I22" s="58">
        <f>IF([1]Blank42!I291=0,FIXED(0,0,0),[1]Blank42!I291)</f>
        <v>1813.269441856527</v>
      </c>
      <c r="J22" s="58">
        <f>IF([1]Blank42!J291=0,FIXED(0,0,0),[1]Blank42!J291)</f>
        <v>1648.4267653241154</v>
      </c>
      <c r="K22" s="257"/>
      <c r="L22" s="257"/>
      <c r="M22" s="257"/>
      <c r="N22" s="257"/>
    </row>
    <row r="23" spans="1:14" ht="13.5" x14ac:dyDescent="0.45">
      <c r="A23" s="20"/>
      <c r="B23" s="20"/>
      <c r="C23" s="56" t="str">
        <f>[1]Blank42!C292</f>
        <v>Total Assets</v>
      </c>
      <c r="D23" s="268">
        <f>IF([1]Blank42!D292=0,FIXED(0,0,0),[1]Blank42!D292)</f>
        <v>1500</v>
      </c>
      <c r="E23" s="268">
        <f>IF([1]Blank42!E292=0,FIXED(0,0,0),[1]Blank42!E292)</f>
        <v>4046.092950945897</v>
      </c>
      <c r="F23" s="268">
        <f>IF([1]Blank42!F292=0,FIXED(0,0,0),[1]Blank42!F292)</f>
        <v>3804.5597138215408</v>
      </c>
      <c r="G23" s="268">
        <f>IF([1]Blank42!G292=0,FIXED(0,0,0),[1]Blank42!G292)</f>
        <v>3554.1764766971846</v>
      </c>
      <c r="H23" s="268">
        <f>IF([1]Blank42!H292=0,FIXED(0,0,0),[1]Blank42!H292)</f>
        <v>3294.500739572828</v>
      </c>
      <c r="I23" s="268">
        <f>IF([1]Blank42!I292=0,FIXED(0,0,0),[1]Blank42!I292)</f>
        <v>3025.0678774484718</v>
      </c>
      <c r="J23" s="268">
        <f>IF([1]Blank42!J292=0,FIXED(0,0,0),[1]Blank42!J292)</f>
        <v>2745.3900340741156</v>
      </c>
      <c r="K23" s="257"/>
      <c r="L23" s="257"/>
      <c r="M23" s="257"/>
      <c r="N23" s="257"/>
    </row>
    <row r="24" spans="1:14" ht="6" customHeight="1" x14ac:dyDescent="0.35">
      <c r="A24" s="20"/>
      <c r="B24" s="20"/>
      <c r="C24" s="56"/>
      <c r="D24" s="68"/>
      <c r="E24" s="68"/>
      <c r="F24" s="68"/>
      <c r="G24" s="68"/>
      <c r="H24" s="68"/>
      <c r="I24" s="68"/>
      <c r="J24" s="68"/>
      <c r="K24" s="257"/>
      <c r="L24" s="257"/>
      <c r="M24" s="257"/>
      <c r="N24" s="257"/>
    </row>
    <row r="25" spans="1:14" ht="13.15" x14ac:dyDescent="0.4">
      <c r="A25" s="20"/>
      <c r="B25" s="274" t="str">
        <f>[1]Blank42!B293</f>
        <v>Liabilites &amp; Equity</v>
      </c>
      <c r="C25" s="20"/>
      <c r="D25" s="43"/>
      <c r="E25" s="43"/>
      <c r="F25" s="43"/>
      <c r="G25" s="43"/>
      <c r="H25" s="43"/>
      <c r="I25" s="43"/>
      <c r="J25" s="43"/>
      <c r="K25" s="257"/>
      <c r="L25" s="20"/>
      <c r="M25" s="20"/>
      <c r="N25" s="20"/>
    </row>
    <row r="26" spans="1:14" x14ac:dyDescent="0.35">
      <c r="A26" s="20"/>
      <c r="B26" s="20"/>
      <c r="C26" s="56" t="str">
        <f>[1]Blank42!C294</f>
        <v>A/P &amp; Accrued</v>
      </c>
      <c r="D26" s="68">
        <f>IF([1]Blank42!D294=0,FIXED(0,0,0),[1]Blank42!D294)</f>
        <v>300</v>
      </c>
      <c r="E26" s="68">
        <f>IF([1]Blank42!E294=0,FIXED(0,0,0),[1]Blank42!E294)</f>
        <v>300</v>
      </c>
      <c r="F26" s="68">
        <f>IF([1]Blank42!F294=0,FIXED(0,0,0),[1]Blank42!F294)</f>
        <v>315</v>
      </c>
      <c r="G26" s="68">
        <f>IF([1]Blank42!G294=0,FIXED(0,0,0),[1]Blank42!G294)</f>
        <v>330.75</v>
      </c>
      <c r="H26" s="68">
        <f>IF([1]Blank42!H294=0,FIXED(0,0,0),[1]Blank42!H294)</f>
        <v>347.28750000000002</v>
      </c>
      <c r="I26" s="68">
        <f>IF([1]Blank42!I294=0,FIXED(0,0,0),[1]Blank42!I294)</f>
        <v>364.65187500000008</v>
      </c>
      <c r="J26" s="68">
        <f>IF([1]Blank42!J294=0,FIXED(0,0,0),[1]Blank42!J294)</f>
        <v>382.88446875000005</v>
      </c>
      <c r="K26" s="257"/>
      <c r="L26" s="257"/>
      <c r="M26" s="257"/>
      <c r="N26" s="257"/>
    </row>
    <row r="27" spans="1:14" ht="14.65" x14ac:dyDescent="0.6">
      <c r="A27" s="20"/>
      <c r="B27" s="20"/>
      <c r="C27" s="56" t="str">
        <f>[1]Blank42!C295</f>
        <v>Other Misc. Liabilities</v>
      </c>
      <c r="D27" s="58" t="str">
        <f>IF([1]Blank42!D295=0,FIXED(0,0,0),[1]Blank42!D295)</f>
        <v>0</v>
      </c>
      <c r="E27" s="58" t="str">
        <f>IF([1]Blank42!E295=0,FIXED(0,0,0),[1]Blank42!E295)</f>
        <v>0</v>
      </c>
      <c r="F27" s="58" t="str">
        <f>IF([1]Blank42!F295=0,FIXED(0,0,0),[1]Blank42!F295)</f>
        <v>0</v>
      </c>
      <c r="G27" s="58" t="str">
        <f>IF([1]Blank42!G295=0,FIXED(0,0,0),[1]Blank42!G295)</f>
        <v>0</v>
      </c>
      <c r="H27" s="58" t="str">
        <f>IF([1]Blank42!H295=0,FIXED(0,0,0),[1]Blank42!H295)</f>
        <v>0</v>
      </c>
      <c r="I27" s="58" t="str">
        <f>IF([1]Blank42!I295=0,FIXED(0,0,0),[1]Blank42!I295)</f>
        <v>0</v>
      </c>
      <c r="J27" s="58" t="str">
        <f>IF([1]Blank42!J295=0,FIXED(0,0,0),[1]Blank42!J295)</f>
        <v>0</v>
      </c>
      <c r="K27" s="257"/>
      <c r="L27" s="257"/>
      <c r="M27" s="257"/>
      <c r="N27" s="257"/>
    </row>
    <row r="28" spans="1:14" ht="12.75" customHeight="1" x14ac:dyDescent="0.45">
      <c r="A28" s="20"/>
      <c r="B28" s="20"/>
      <c r="C28" s="56" t="s">
        <v>65</v>
      </c>
      <c r="D28" s="62">
        <f>D26+D27</f>
        <v>300</v>
      </c>
      <c r="E28" s="62">
        <f t="shared" ref="E28:J28" si="0">E26+E27</f>
        <v>300</v>
      </c>
      <c r="F28" s="62">
        <f t="shared" si="0"/>
        <v>315</v>
      </c>
      <c r="G28" s="62">
        <f t="shared" si="0"/>
        <v>330.75</v>
      </c>
      <c r="H28" s="62">
        <f t="shared" si="0"/>
        <v>347.28750000000002</v>
      </c>
      <c r="I28" s="62">
        <f t="shared" si="0"/>
        <v>364.65187500000008</v>
      </c>
      <c r="J28" s="62">
        <f t="shared" si="0"/>
        <v>382.88446875000005</v>
      </c>
      <c r="K28" s="257"/>
      <c r="L28" s="257"/>
      <c r="M28" s="257"/>
      <c r="N28" s="257"/>
    </row>
    <row r="29" spans="1:14" ht="6" customHeight="1" x14ac:dyDescent="0.35">
      <c r="A29" s="20"/>
      <c r="B29" s="20"/>
      <c r="C29" s="56"/>
      <c r="D29" s="43"/>
      <c r="E29" s="43"/>
      <c r="F29" s="43"/>
      <c r="G29" s="43"/>
      <c r="H29" s="43"/>
      <c r="I29" s="43"/>
      <c r="J29" s="43"/>
      <c r="K29" s="257"/>
      <c r="L29" s="257"/>
      <c r="M29" s="257"/>
      <c r="N29" s="257"/>
    </row>
    <row r="30" spans="1:14" x14ac:dyDescent="0.35">
      <c r="A30" s="20"/>
      <c r="B30" s="20"/>
      <c r="C30" s="56" t="str">
        <f>[1]Blank42!C297</f>
        <v>Revolver</v>
      </c>
      <c r="D30" s="43"/>
      <c r="E30" s="68">
        <f>IF([1]Blank42!E297=0,FIXED(0,0,0),[1]Blank42!E297)</f>
        <v>840</v>
      </c>
      <c r="F30" s="68">
        <f>IF([1]Blank42!F297=0,FIXED(0,0,0),[1]Blank42!F297)</f>
        <v>882</v>
      </c>
      <c r="G30" s="68">
        <f>IF([1]Blank42!G297=0,FIXED(0,0,0),[1]Blank42!G297)</f>
        <v>892.45887433134135</v>
      </c>
      <c r="H30" s="68">
        <f>IF([1]Blank42!H297=0,FIXED(0,0,0),[1]Blank42!H297)</f>
        <v>868.27063102153579</v>
      </c>
      <c r="I30" s="68">
        <f>IF([1]Blank42!I297=0,FIXED(0,0,0),[1]Blank42!I297)</f>
        <v>806.14466678480574</v>
      </c>
      <c r="J30" s="68">
        <f>IF([1]Blank42!J297=0,FIXED(0,0,0),[1]Blank42!J297)</f>
        <v>702.53515817218909</v>
      </c>
      <c r="K30" s="257"/>
      <c r="L30" s="257"/>
      <c r="M30" s="257"/>
      <c r="N30" s="257"/>
    </row>
    <row r="31" spans="1:14" x14ac:dyDescent="0.35">
      <c r="A31" s="20"/>
      <c r="B31" s="20"/>
      <c r="C31" s="56" t="str">
        <f>[1]Blank42!$C$298</f>
        <v>Term Loan</v>
      </c>
      <c r="D31" s="43"/>
      <c r="E31" s="68">
        <f>IF([1]Blank42!E298=0,FIXED(0,0,0),[1]Blank42!E298)</f>
        <v>800</v>
      </c>
      <c r="F31" s="68">
        <f>IF([1]Blank42!F298=0,FIXED(0,0,0),[1]Blank42!F298)</f>
        <v>640</v>
      </c>
      <c r="G31" s="68">
        <f>IF([1]Blank42!G298=0,FIXED(0,0,0),[1]Blank42!G298)</f>
        <v>480</v>
      </c>
      <c r="H31" s="68">
        <f>IF([1]Blank42!H298=0,FIXED(0,0,0),[1]Blank42!H298)</f>
        <v>320</v>
      </c>
      <c r="I31" s="68">
        <f>IF([1]Blank42!I298=0,FIXED(0,0,0),[1]Blank42!I298)</f>
        <v>160</v>
      </c>
      <c r="J31" s="68" t="str">
        <f>IF([1]Blank42!J298=0,FIXED(0,0,0),[1]Blank42!J298)</f>
        <v>0</v>
      </c>
      <c r="K31" s="257"/>
      <c r="L31" s="257"/>
      <c r="M31" s="257"/>
      <c r="N31" s="257"/>
    </row>
    <row r="32" spans="1:14" x14ac:dyDescent="0.35">
      <c r="A32" s="20"/>
      <c r="B32" s="20"/>
      <c r="C32" s="56" t="str">
        <f>[1]Blank42!C299</f>
        <v>Over Advance Loan</v>
      </c>
      <c r="D32" s="43"/>
      <c r="E32" s="68" t="str">
        <f>IF([1]Blank42!E299=0,FIXED(0,0,0),[1]Blank42!E299)</f>
        <v>0</v>
      </c>
      <c r="F32" s="68" t="str">
        <f>IF([1]Blank42!F299=0,FIXED(0,0,0),[1]Blank42!F299)</f>
        <v>0</v>
      </c>
      <c r="G32" s="68" t="str">
        <f>IF([1]Blank42!G299=0,FIXED(0,0,0),[1]Blank42!G299)</f>
        <v>0</v>
      </c>
      <c r="H32" s="68" t="str">
        <f>IF([1]Blank42!H299=0,FIXED(0,0,0),[1]Blank42!H299)</f>
        <v>0</v>
      </c>
      <c r="I32" s="68" t="str">
        <f>IF([1]Blank42!I299=0,FIXED(0,0,0),[1]Blank42!I299)</f>
        <v>0</v>
      </c>
      <c r="J32" s="68" t="str">
        <f>IF([1]Blank42!J299=0,FIXED(0,0,0),[1]Blank42!J299)</f>
        <v>0</v>
      </c>
      <c r="K32" s="257"/>
      <c r="L32" s="257"/>
      <c r="M32" s="257"/>
      <c r="N32" s="257"/>
    </row>
    <row r="33" spans="1:14" x14ac:dyDescent="0.35">
      <c r="A33" s="20"/>
      <c r="B33" s="20"/>
      <c r="C33" s="56" t="str">
        <f>[1]Blank42!C300</f>
        <v>Mezzanine Financing</v>
      </c>
      <c r="D33" s="43"/>
      <c r="E33" s="68" t="str">
        <f>IF([1]Blank42!E300=0,FIXED(0,0,0),[1]Blank42!E300)</f>
        <v>0</v>
      </c>
      <c r="F33" s="68" t="str">
        <f>IF([1]Blank42!F300=0,FIXED(0,0,0),[1]Blank42!F300)</f>
        <v>0</v>
      </c>
      <c r="G33" s="68" t="str">
        <f>IF([1]Blank42!G300=0,FIXED(0,0,0),[1]Blank42!G300)</f>
        <v>0</v>
      </c>
      <c r="H33" s="68" t="str">
        <f>IF([1]Blank42!H300=0,FIXED(0,0,0),[1]Blank42!H300)</f>
        <v>0</v>
      </c>
      <c r="I33" s="68" t="str">
        <f>IF([1]Blank42!I300=0,FIXED(0,0,0),[1]Blank42!I300)</f>
        <v>0</v>
      </c>
      <c r="J33" s="68" t="str">
        <f>IF([1]Blank42!J300=0,FIXED(0,0,0),[1]Blank42!J300)</f>
        <v>0</v>
      </c>
      <c r="K33" s="257"/>
      <c r="L33" s="257"/>
      <c r="M33" s="257"/>
      <c r="N33" s="257"/>
    </row>
    <row r="34" spans="1:14" x14ac:dyDescent="0.35">
      <c r="A34" s="20"/>
      <c r="B34" s="20"/>
      <c r="C34" s="275" t="str">
        <f>[1]Blank42!C301</f>
        <v>Gap(Seller) Note</v>
      </c>
      <c r="D34" s="43"/>
      <c r="E34" s="68">
        <f>IF([1]Blank42!E301=0,FIXED(0,0,0),[1]Blank42!E301)</f>
        <v>1220.8550984519884</v>
      </c>
      <c r="F34" s="68">
        <f>IF([1]Blank42!F301=0,FIXED(0,0,0),[1]Blank42!F301)</f>
        <v>976.68407876159074</v>
      </c>
      <c r="G34" s="68">
        <f>IF([1]Blank42!G301=0,FIXED(0,0,0),[1]Blank42!G301)</f>
        <v>732.51305907119308</v>
      </c>
      <c r="H34" s="68">
        <f>IF([1]Blank42!H301=0,FIXED(0,0,0),[1]Blank42!H301)</f>
        <v>488.34203938079543</v>
      </c>
      <c r="I34" s="68">
        <f>IF([1]Blank42!I301=0,FIXED(0,0,0),[1]Blank42!I301)</f>
        <v>244.17101969039774</v>
      </c>
      <c r="J34" s="68" t="str">
        <f>IF([1]Blank42!J301=0,FIXED(0,0,0),[1]Blank42!J301)</f>
        <v>0</v>
      </c>
      <c r="K34" s="257"/>
      <c r="L34" s="257"/>
      <c r="M34" s="257"/>
      <c r="N34" s="257"/>
    </row>
    <row r="35" spans="1:14" x14ac:dyDescent="0.35">
      <c r="A35" s="20"/>
      <c r="B35" s="20"/>
      <c r="C35" s="56" t="str">
        <f>[1]Blank42!C302</f>
        <v>Gap(Seller) Balloon Note</v>
      </c>
      <c r="D35" s="43"/>
      <c r="E35" s="68" t="str">
        <f>IF([1]Blank42!E302=0,FIXED(0,0,0),[1]Blank42!E302)</f>
        <v>0</v>
      </c>
      <c r="F35" s="68" t="str">
        <f>IF([1]Blank42!F302=0,FIXED(0,0,0),[1]Blank42!F302)</f>
        <v>0</v>
      </c>
      <c r="G35" s="68" t="str">
        <f>IF([1]Blank42!G302=0,FIXED(0,0,0),[1]Blank42!G302)</f>
        <v>0</v>
      </c>
      <c r="H35" s="68" t="str">
        <f>IF([1]Blank42!H302=0,FIXED(0,0,0),[1]Blank42!H302)</f>
        <v>0</v>
      </c>
      <c r="I35" s="68" t="str">
        <f>IF([1]Blank42!I302=0,FIXED(0,0,0),[1]Blank42!I302)</f>
        <v>0</v>
      </c>
      <c r="J35" s="68" t="str">
        <f>IF([1]Blank42!J302=0,FIXED(0,0,0),[1]Blank42!J302)</f>
        <v>0</v>
      </c>
      <c r="K35" s="257"/>
      <c r="L35" s="257"/>
      <c r="M35" s="257"/>
      <c r="N35" s="257"/>
    </row>
    <row r="36" spans="1:14" x14ac:dyDescent="0.35">
      <c r="A36" s="276"/>
      <c r="B36" s="20"/>
      <c r="C36" s="56" t="str">
        <f>[1]Blank42!C303</f>
        <v>Cap Ex Loan</v>
      </c>
      <c r="D36" s="43"/>
      <c r="E36" s="68" t="str">
        <f>IF([1]Blank42!E303=0,FIXED(0,0,0),[1]Blank42!E303)</f>
        <v>0</v>
      </c>
      <c r="F36" s="68">
        <f>IF([1]Blank42!F303=0,FIXED(0,0,0),[1]Blank42!F303)</f>
        <v>47.25</v>
      </c>
      <c r="G36" s="68">
        <f>IF([1]Blank42!G303=0,FIXED(0,0,0),[1]Blank42!G303)</f>
        <v>85.05</v>
      </c>
      <c r="H36" s="68">
        <f>IF([1]Blank42!H303=0,FIXED(0,0,0),[1]Blank42!H303)</f>
        <v>112.92750000000002</v>
      </c>
      <c r="I36" s="68">
        <f>IF([1]Blank42!I303=0,FIXED(0,0,0),[1]Blank42!I303)</f>
        <v>130.38637500000004</v>
      </c>
      <c r="J36" s="68">
        <f>IF([1]Blank42!J303=0,FIXED(0,0,0),[1]Blank42!J303)</f>
        <v>136.90569375000004</v>
      </c>
      <c r="K36" s="257"/>
      <c r="L36" s="257"/>
      <c r="M36" s="257"/>
      <c r="N36" s="257"/>
    </row>
    <row r="37" spans="1:14" x14ac:dyDescent="0.35">
      <c r="A37" s="20"/>
      <c r="B37" s="20"/>
      <c r="C37" s="56" t="str">
        <f>[1]Blank42!C304</f>
        <v>Remaining Non-Compete Pymnt</v>
      </c>
      <c r="D37" s="43"/>
      <c r="E37" s="68" t="str">
        <f>IF([1]Blank42!E304=0,FIXED(0,0,0),[1]Blank42!E304)</f>
        <v>0</v>
      </c>
      <c r="F37" s="68" t="str">
        <f>IF([1]Blank42!F304=0,FIXED(0,0,0),[1]Blank42!F304)</f>
        <v>0</v>
      </c>
      <c r="G37" s="68" t="str">
        <f>IF([1]Blank42!G304=0,FIXED(0,0,0),[1]Blank42!G304)</f>
        <v>0</v>
      </c>
      <c r="H37" s="68" t="str">
        <f>IF([1]Blank42!H304=0,FIXED(0,0,0),[1]Blank42!H304)</f>
        <v>0</v>
      </c>
      <c r="I37" s="68" t="str">
        <f>IF([1]Blank42!I304=0,FIXED(0,0,0),[1]Blank42!I304)</f>
        <v>0</v>
      </c>
      <c r="J37" s="68" t="str">
        <f>IF([1]Blank42!J304=0,FIXED(0,0,0),[1]Blank42!J304)</f>
        <v>0</v>
      </c>
      <c r="K37" s="257"/>
      <c r="L37" s="277"/>
      <c r="M37" s="277"/>
      <c r="N37" s="277"/>
    </row>
    <row r="38" spans="1:14" x14ac:dyDescent="0.35">
      <c r="A38" s="20"/>
      <c r="B38" s="20"/>
      <c r="C38" s="56" t="str">
        <f>[1]Blank42!C305</f>
        <v>Rem. Personal Goodwill Pymnt</v>
      </c>
      <c r="D38" s="43"/>
      <c r="E38" s="68" t="str">
        <f>IF([1]Blank42!E305=0,FIXED(0,0,0),[1]Blank42!E305)</f>
        <v>0</v>
      </c>
      <c r="F38" s="68" t="str">
        <f>IF([1]Blank42!F305=0,FIXED(0,0,0),[1]Blank42!F305)</f>
        <v>0</v>
      </c>
      <c r="G38" s="68" t="str">
        <f>IF([1]Blank42!G305=0,FIXED(0,0,0),[1]Blank42!G305)</f>
        <v>0</v>
      </c>
      <c r="H38" s="68" t="str">
        <f>IF([1]Blank42!H305=0,FIXED(0,0,0),[1]Blank42!H305)</f>
        <v>0</v>
      </c>
      <c r="I38" s="68" t="str">
        <f>IF([1]Blank42!I305=0,FIXED(0,0,0),[1]Blank42!I305)</f>
        <v>0</v>
      </c>
      <c r="J38" s="68" t="str">
        <f>IF([1]Blank42!J305=0,FIXED(0,0,0),[1]Blank42!J305)</f>
        <v>0</v>
      </c>
      <c r="K38" s="257"/>
      <c r="L38" s="277"/>
      <c r="M38" s="277"/>
      <c r="N38" s="277"/>
    </row>
    <row r="39" spans="1:14" ht="14.65" x14ac:dyDescent="0.6">
      <c r="A39" s="20"/>
      <c r="B39" s="20"/>
      <c r="C39" s="56" t="str">
        <f>[1]Blank42!C306</f>
        <v>Remaining Consulting Pymnt</v>
      </c>
      <c r="D39" s="278"/>
      <c r="E39" s="58" t="str">
        <f>IF([1]Blank42!E306=0,FIXED(0,0,0),[1]Blank42!E306)</f>
        <v>0</v>
      </c>
      <c r="F39" s="58" t="str">
        <f>IF([1]Blank42!F306=0,FIXED(0,0,0),[1]Blank42!F306)</f>
        <v>0</v>
      </c>
      <c r="G39" s="58" t="str">
        <f>IF([1]Blank42!G306=0,FIXED(0,0,0),[1]Blank42!G306)</f>
        <v>0</v>
      </c>
      <c r="H39" s="58" t="str">
        <f>IF([1]Blank42!H306=0,FIXED(0,0,0),[1]Blank42!H306)</f>
        <v>0</v>
      </c>
      <c r="I39" s="58" t="str">
        <f>IF([1]Blank42!I306=0,FIXED(0,0,0),[1]Blank42!I306)</f>
        <v>0</v>
      </c>
      <c r="J39" s="58" t="str">
        <f>IF([1]Blank42!J306=0,FIXED(0,0,0),[1]Blank42!J306)</f>
        <v>0</v>
      </c>
      <c r="K39" s="257"/>
      <c r="L39" s="257"/>
      <c r="M39" s="257"/>
      <c r="N39" s="257"/>
    </row>
    <row r="40" spans="1:14" ht="13.5" x14ac:dyDescent="0.45">
      <c r="A40" s="276"/>
      <c r="B40" s="20"/>
      <c r="C40" s="56" t="str">
        <f>[1]Blank42!C307</f>
        <v>Non-Operating Liab.</v>
      </c>
      <c r="D40" s="62"/>
      <c r="E40" s="268">
        <f>IF([1]Blank42!E307=0,FIXED(0,0,0),[1]Blank42!E307)</f>
        <v>2860.8550984519884</v>
      </c>
      <c r="F40" s="268">
        <f>IF([1]Blank42!F307=0,FIXED(0,0,0),[1]Blank42!F307)</f>
        <v>2545.9340787615906</v>
      </c>
      <c r="G40" s="268">
        <f>IF([1]Blank42!G307=0,FIXED(0,0,0),[1]Blank42!G307)</f>
        <v>2190.0219334025346</v>
      </c>
      <c r="H40" s="268">
        <f>IF([1]Blank42!H307=0,FIXED(0,0,0),[1]Blank42!H307)</f>
        <v>1789.5401704023313</v>
      </c>
      <c r="I40" s="268">
        <f>IF([1]Blank42!I307=0,FIXED(0,0,0),[1]Blank42!I307)</f>
        <v>1340.7020614752034</v>
      </c>
      <c r="J40" s="268">
        <f>IF([1]Blank42!J307=0,FIXED(0,0,0),[1]Blank42!J307)</f>
        <v>839.44085192218915</v>
      </c>
      <c r="K40" s="257"/>
      <c r="L40" s="257"/>
      <c r="M40" s="257"/>
      <c r="N40" s="257"/>
    </row>
    <row r="41" spans="1:14" ht="6" customHeight="1" x14ac:dyDescent="0.35">
      <c r="A41" s="20"/>
      <c r="B41" s="20"/>
      <c r="C41" s="20"/>
      <c r="D41" s="43"/>
      <c r="E41" s="43"/>
      <c r="F41" s="43"/>
      <c r="G41" s="43"/>
      <c r="H41" s="43"/>
      <c r="I41" s="43"/>
      <c r="J41" s="43"/>
      <c r="K41" s="257"/>
      <c r="L41" s="257"/>
      <c r="M41" s="257"/>
      <c r="N41" s="257"/>
    </row>
    <row r="42" spans="1:14" ht="12.75" customHeight="1" x14ac:dyDescent="0.45">
      <c r="A42" s="20"/>
      <c r="B42" s="20"/>
      <c r="C42" s="56" t="s">
        <v>66</v>
      </c>
      <c r="D42" s="62">
        <f>D28+D40</f>
        <v>300</v>
      </c>
      <c r="E42" s="62">
        <f t="shared" ref="E42:J42" si="1">E28+E40</f>
        <v>3160.8550984519884</v>
      </c>
      <c r="F42" s="62">
        <f t="shared" si="1"/>
        <v>2860.9340787615906</v>
      </c>
      <c r="G42" s="62">
        <f t="shared" si="1"/>
        <v>2520.7719334025346</v>
      </c>
      <c r="H42" s="62">
        <f t="shared" si="1"/>
        <v>2136.8276704023315</v>
      </c>
      <c r="I42" s="62">
        <f t="shared" si="1"/>
        <v>1705.3539364752035</v>
      </c>
      <c r="J42" s="62">
        <f t="shared" si="1"/>
        <v>1222.3253206721893</v>
      </c>
      <c r="K42" s="257"/>
      <c r="L42" s="257"/>
      <c r="M42" s="257"/>
      <c r="N42" s="257"/>
    </row>
    <row r="43" spans="1:14" ht="6" customHeight="1" x14ac:dyDescent="0.35">
      <c r="A43" s="20"/>
      <c r="B43" s="20"/>
      <c r="C43" s="20"/>
      <c r="D43" s="43"/>
      <c r="E43" s="43"/>
      <c r="F43" s="43"/>
      <c r="G43" s="43"/>
      <c r="H43" s="43"/>
      <c r="I43" s="43"/>
      <c r="J43" s="43"/>
      <c r="K43" s="257"/>
      <c r="L43" s="257"/>
      <c r="M43" s="257"/>
      <c r="N43" s="257"/>
    </row>
    <row r="44" spans="1:14" x14ac:dyDescent="0.35">
      <c r="A44" s="20"/>
      <c r="B44" s="20"/>
      <c r="C44" s="56" t="str">
        <f>[1]Blank42!C309</f>
        <v>Retained Earnings</v>
      </c>
      <c r="D44" s="68" t="str">
        <f>IF([1]Blank42!D309=0,FIXED(0,0,0),[1]Blank42!D309)</f>
        <v>0</v>
      </c>
      <c r="E44" s="68" t="str">
        <f>IF([1]Blank42!E309=0,FIXED(0,0,0),[1]Blank42!E309)</f>
        <v>0</v>
      </c>
      <c r="F44" s="68">
        <f>IF([1]Blank42!F309=0,FIXED(0,0,0),[1]Blank42!F309)</f>
        <v>97.218252939531553</v>
      </c>
      <c r="G44" s="68">
        <f>IF([1]Blank42!G309=0,FIXED(0,0,0),[1]Blank42!G309)</f>
        <v>246.84976666403168</v>
      </c>
      <c r="H44" s="68">
        <f>IF([1]Blank42!H309=0,FIXED(0,0,0),[1]Blank42!H309)</f>
        <v>453.96397645711022</v>
      </c>
      <c r="I44" s="68">
        <f>IF([1]Blank42!I309=0,FIXED(0,0,0),[1]Blank42!I309)</f>
        <v>724.03209612839589</v>
      </c>
      <c r="J44" s="68">
        <f>IF([1]Blank42!J309=0,FIXED(0,0,0),[1]Blank42!J309)</f>
        <v>1062.9500501761599</v>
      </c>
      <c r="K44" s="257"/>
      <c r="L44" s="257"/>
      <c r="M44" s="257"/>
      <c r="N44" s="257"/>
    </row>
    <row r="45" spans="1:14" x14ac:dyDescent="0.35">
      <c r="A45" s="20"/>
      <c r="B45" s="20"/>
      <c r="C45" s="56" t="str">
        <f>[1]Blank42!C310</f>
        <v>Additional Capital</v>
      </c>
      <c r="D45" s="43"/>
      <c r="E45" s="68" t="str">
        <f>IF([1]Blank42!E310=0,FIXED(0,0,0),[1]Blank42!E310)</f>
        <v>0</v>
      </c>
      <c r="F45" s="68">
        <f>IF([1]Blank42!F310=0,FIXED(0,0,0),[1]Blank42!F310)</f>
        <v>5.68308023225228E-2</v>
      </c>
      <c r="G45" s="68">
        <f>IF([1]Blank42!G310=0,FIXED(0,0,0),[1]Blank42!G310)</f>
        <v>5.68308023225228E-2</v>
      </c>
      <c r="H45" s="68">
        <f>IF([1]Blank42!H310=0,FIXED(0,0,0),[1]Blank42!H310)</f>
        <v>5.68308023225228E-2</v>
      </c>
      <c r="I45" s="68">
        <f>IF([1]Blank42!I310=0,FIXED(0,0,0),[1]Blank42!I310)</f>
        <v>5.68308023225228E-2</v>
      </c>
      <c r="J45" s="68">
        <f>IF([1]Blank42!J310=0,FIXED(0,0,0),[1]Blank42!J310)</f>
        <v>5.68308023225228E-2</v>
      </c>
      <c r="K45" s="257"/>
      <c r="L45" s="257"/>
      <c r="M45" s="257"/>
      <c r="N45" s="257"/>
    </row>
    <row r="46" spans="1:14" x14ac:dyDescent="0.35">
      <c r="A46" s="20"/>
      <c r="B46" s="20"/>
      <c r="C46" s="56" t="str">
        <f>[1]Blank42!C311</f>
        <v>Distribution for Taxes</v>
      </c>
      <c r="D46" s="43"/>
      <c r="E46" s="68" t="str">
        <f>IF([1]Blank42!E311=0,FIXED(0,0,0),[1]Blank42!E311)</f>
        <v>0</v>
      </c>
      <c r="F46" s="68">
        <f>IF([1]Blank42!F311=0,FIXED(0,0,0),[1]Blank42!F311)</f>
        <v>-38.887301175812624</v>
      </c>
      <c r="G46" s="68">
        <f>IF([1]Blank42!G311=0,FIXED(0,0,0),[1]Blank42!G311)</f>
        <v>-98.739906665612679</v>
      </c>
      <c r="H46" s="68">
        <f>IF([1]Blank42!H311=0,FIXED(0,0,0),[1]Blank42!H311)</f>
        <v>-181.58559058284411</v>
      </c>
      <c r="I46" s="68">
        <f>IF([1]Blank42!I311=0,FIXED(0,0,0),[1]Blank42!I311)</f>
        <v>-289.61283845135836</v>
      </c>
      <c r="J46" s="68">
        <f>IF([1]Blank42!J311=0,FIXED(0,0,0),[1]Blank42!J311)</f>
        <v>-425.18002007046402</v>
      </c>
      <c r="K46" s="257"/>
      <c r="L46" s="257"/>
      <c r="M46" s="257"/>
      <c r="N46" s="257"/>
    </row>
    <row r="47" spans="1:14" x14ac:dyDescent="0.35">
      <c r="A47" s="20"/>
      <c r="B47" s="20"/>
      <c r="C47" s="56" t="str">
        <f>[1]Blank42!C312</f>
        <v>Dividends</v>
      </c>
      <c r="D47" s="43"/>
      <c r="E47" s="68" t="str">
        <f>IF([1]Blank42!E312=0,FIXED(0,0,0),[1]Blank42!E312)</f>
        <v>0</v>
      </c>
      <c r="F47" s="68" t="str">
        <f>IF([1]Blank42!F312=0,FIXED(0,0,0),[1]Blank42!F312)</f>
        <v>0</v>
      </c>
      <c r="G47" s="68" t="str">
        <f>IF([1]Blank42!G312=0,FIXED(0,0,0),[1]Blank42!G312)</f>
        <v>0</v>
      </c>
      <c r="H47" s="68" t="str">
        <f>IF([1]Blank42!H312=0,FIXED(0,0,0),[1]Blank42!H312)</f>
        <v>0</v>
      </c>
      <c r="I47" s="68" t="str">
        <f>IF([1]Blank42!I312=0,FIXED(0,0,0),[1]Blank42!I312)</f>
        <v>0</v>
      </c>
      <c r="J47" s="68" t="str">
        <f>IF([1]Blank42!J312=0,FIXED(0,0,0),[1]Blank42!J312)</f>
        <v>0</v>
      </c>
      <c r="K47" s="257"/>
      <c r="L47" s="257"/>
      <c r="M47" s="257"/>
      <c r="N47" s="257"/>
    </row>
    <row r="48" spans="1:14" ht="14.65" x14ac:dyDescent="0.6">
      <c r="A48" s="20"/>
      <c r="B48" s="20"/>
      <c r="C48" s="56" t="str">
        <f>[1]Blank42!C313</f>
        <v>Common Stock</v>
      </c>
      <c r="D48" s="58">
        <f>IF([1]Blank42!D313=0,FIXED(0,0,0),[1]Blank42!D313)</f>
        <v>1200</v>
      </c>
      <c r="E48" s="58">
        <f>IF([1]Blank42!E313=0,FIXED(0,0,0),[1]Blank42!E313)</f>
        <v>885.23785249390869</v>
      </c>
      <c r="F48" s="58">
        <f>IF([1]Blank42!F313=0,FIXED(0,0,0),[1]Blank42!F313)</f>
        <v>885.23785249390869</v>
      </c>
      <c r="G48" s="58">
        <f>IF([1]Blank42!G313=0,FIXED(0,0,0),[1]Blank42!G313)</f>
        <v>885.23785249390869</v>
      </c>
      <c r="H48" s="58">
        <f>IF([1]Blank42!H313=0,FIXED(0,0,0),[1]Blank42!H313)</f>
        <v>885.23785249390869</v>
      </c>
      <c r="I48" s="58">
        <f>IF([1]Blank42!I313=0,FIXED(0,0,0),[1]Blank42!I313)</f>
        <v>885.23785249390869</v>
      </c>
      <c r="J48" s="58">
        <f>IF([1]Blank42!J313=0,FIXED(0,0,0),[1]Blank42!J313)</f>
        <v>885.23785249390869</v>
      </c>
      <c r="K48" s="257"/>
      <c r="L48" s="257"/>
      <c r="M48" s="257"/>
      <c r="N48" s="257"/>
    </row>
    <row r="49" spans="1:14" ht="13.5" x14ac:dyDescent="0.45">
      <c r="A49" s="20"/>
      <c r="B49" s="20"/>
      <c r="C49" s="56" t="str">
        <f>[1]Blank42!C314</f>
        <v>Total Equity</v>
      </c>
      <c r="D49" s="268">
        <f>IF([1]Blank42!D314=0,FIXED(0,0,0),[1]Blank42!D314)</f>
        <v>1200</v>
      </c>
      <c r="E49" s="268">
        <f>IF([1]Blank42!E314=0,FIXED(0,0,0),[1]Blank42!E314)</f>
        <v>885.23785249390869</v>
      </c>
      <c r="F49" s="268">
        <f>IF([1]Blank42!F314=0,FIXED(0,0,0),[1]Blank42!F314)</f>
        <v>943.62563505995013</v>
      </c>
      <c r="G49" s="268">
        <f>IF([1]Blank42!G314=0,FIXED(0,0,0),[1]Blank42!G314)</f>
        <v>1033.4045432946502</v>
      </c>
      <c r="H49" s="268">
        <f>IF([1]Blank42!H314=0,FIXED(0,0,0),[1]Blank42!H314)</f>
        <v>1157.6730691704975</v>
      </c>
      <c r="I49" s="268">
        <f>IF([1]Blank42!I314=0,FIXED(0,0,0),[1]Blank42!I314)</f>
        <v>1319.7139409732688</v>
      </c>
      <c r="J49" s="268">
        <f>IF([1]Blank42!J314=0,FIXED(0,0,0),[1]Blank42!J314)</f>
        <v>1523.0647134019273</v>
      </c>
      <c r="K49" s="257"/>
      <c r="L49" s="257"/>
      <c r="M49" s="257"/>
      <c r="N49" s="257"/>
    </row>
    <row r="50" spans="1:14" ht="6" customHeight="1" x14ac:dyDescent="0.35">
      <c r="A50" s="20"/>
      <c r="B50" s="20"/>
      <c r="C50" s="20"/>
      <c r="D50" s="43"/>
      <c r="E50" s="43"/>
      <c r="F50" s="43"/>
      <c r="G50" s="43"/>
      <c r="H50" s="43"/>
      <c r="I50" s="43"/>
      <c r="J50" s="43"/>
      <c r="K50" s="257"/>
      <c r="L50" s="257"/>
      <c r="M50" s="257"/>
      <c r="N50" s="257"/>
    </row>
    <row r="51" spans="1:14" ht="13.5" x14ac:dyDescent="0.45">
      <c r="A51" s="20"/>
      <c r="B51" s="20"/>
      <c r="C51" s="56" t="str">
        <f>[1]Blank42!C316</f>
        <v>Total Liab &amp; Equity</v>
      </c>
      <c r="D51" s="268">
        <f>IF([1]Blank42!D316=0,FIXED(0,0,0),[1]Blank42!D316)</f>
        <v>1500</v>
      </c>
      <c r="E51" s="268">
        <f>IF([1]Blank42!E316=0,FIXED(0,0,0),[1]Blank42!E316)</f>
        <v>4046.092950945897</v>
      </c>
      <c r="F51" s="268">
        <f>IF([1]Blank42!F316=0,FIXED(0,0,0),[1]Blank42!F316)</f>
        <v>3804.5597138215408</v>
      </c>
      <c r="G51" s="268">
        <f>IF([1]Blank42!G316=0,FIXED(0,0,0),[1]Blank42!G316)</f>
        <v>3554.1764766971846</v>
      </c>
      <c r="H51" s="268">
        <f>IF([1]Blank42!H316=0,FIXED(0,0,0),[1]Blank42!H316)</f>
        <v>3294.5007395728289</v>
      </c>
      <c r="I51" s="268">
        <f>IF([1]Blank42!I316=0,FIXED(0,0,0),[1]Blank42!I316)</f>
        <v>3025.0678774484722</v>
      </c>
      <c r="J51" s="268">
        <f>IF([1]Blank42!J316=0,FIXED(0,0,0),[1]Blank42!J316)</f>
        <v>2745.3900340741166</v>
      </c>
      <c r="K51" s="257"/>
      <c r="L51" s="257"/>
      <c r="M51" s="257"/>
      <c r="N51" s="257"/>
    </row>
    <row r="52" spans="1:14" x14ac:dyDescent="0.35">
      <c r="A52" s="279"/>
      <c r="B52" s="20"/>
      <c r="C52" s="41" t="str">
        <f>[1]Blank42!C317</f>
        <v>Check= Assets-Liab</v>
      </c>
      <c r="D52" s="280" t="str">
        <f>IF([1]Blank42!D317=0,FIXED(0,0,0),[1]Blank42!D317)</f>
        <v>ok</v>
      </c>
      <c r="E52" s="280" t="str">
        <f>IF([1]Blank42!E317=0,FIXED(0,0,0),[1]Blank42!E317)</f>
        <v>ok</v>
      </c>
      <c r="F52" s="280" t="str">
        <f>IF([1]Blank42!F317=0,FIXED(0,0,0),[1]Blank42!F317)</f>
        <v>ok</v>
      </c>
      <c r="G52" s="280" t="str">
        <f>IF([1]Blank42!G317=0,FIXED(0,0,0),[1]Blank42!G317)</f>
        <v>ok</v>
      </c>
      <c r="H52" s="280" t="str">
        <f>IF([1]Blank42!H317=0,FIXED(0,0,0),[1]Blank42!H317)</f>
        <v>ok</v>
      </c>
      <c r="I52" s="280" t="str">
        <f>IF([1]Blank42!I317=0,FIXED(0,0,0),[1]Blank42!I317)</f>
        <v>ok</v>
      </c>
      <c r="J52" s="280" t="str">
        <f>IF([1]Blank42!J317=0,FIXED(0,0,0),[1]Blank42!J317)</f>
        <v>ok</v>
      </c>
      <c r="K52" s="281" t="str">
        <f ca="1">ROUND(A61,0)&amp;[1]Blank42!O11</f>
        <v>8164150</v>
      </c>
      <c r="L52" s="270" t="str">
        <f>[1]Blank42!$A$9</f>
        <v>BVX®</v>
      </c>
      <c r="M52" s="270"/>
      <c r="N52" s="270"/>
    </row>
    <row r="61" spans="1:14" x14ac:dyDescent="0.35">
      <c r="A61" s="234">
        <f ca="1">'[1]Valuation 1'!$A$44</f>
        <v>816414.83860721253</v>
      </c>
    </row>
  </sheetData>
  <mergeCells count="1">
    <mergeCell ref="L5:M5"/>
  </mergeCells>
  <conditionalFormatting sqref="D52:J52">
    <cfRule type="cellIs" dxfId="14" priority="1" stopIfTrue="1" operator="equal">
      <formula>"Error"</formula>
    </cfRule>
  </conditionalFormatting>
  <conditionalFormatting sqref="A52 K52">
    <cfRule type="expression" dxfId="13" priority="2" stopIfTrue="1">
      <formula>$B$44&lt;-0.001*$D$11</formula>
    </cfRule>
  </conditionalFormatting>
  <pageMargins left="0.75" right="0.75" top="1" bottom="1" header="0.5" footer="0.5"/>
  <pageSetup scale="82"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30FE2-F4C5-458A-9D73-353AEDAF97BB}">
  <sheetPr codeName="Sheet3">
    <pageSetUpPr fitToPage="1"/>
  </sheetPr>
  <dimension ref="A1:N53"/>
  <sheetViews>
    <sheetView showGridLines="0" workbookViewId="0">
      <selection activeCell="K2" sqref="K2"/>
    </sheetView>
  </sheetViews>
  <sheetFormatPr defaultRowHeight="12.75" x14ac:dyDescent="0.35"/>
  <cols>
    <col min="1" max="1" width="12.69140625" style="1" customWidth="1"/>
    <col min="2" max="3" width="9.23046875" style="1"/>
    <col min="4" max="4" width="10.765625" style="1" customWidth="1"/>
    <col min="5" max="5" width="11.15234375" style="1" customWidth="1"/>
    <col min="6" max="10" width="12.1523437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7.649999999999999" x14ac:dyDescent="0.5">
      <c r="A2" s="4" t="str">
        <f>[1]Blank42!A114</f>
        <v>Company:</v>
      </c>
      <c r="B2" s="238" t="str">
        <f>[1]Blank42!B114</f>
        <v>Best Business, Inc.</v>
      </c>
      <c r="F2" s="239" t="str">
        <f>[1]Blank42!F113</f>
        <v>Income Statement Projections</v>
      </c>
      <c r="G2" s="240"/>
      <c r="J2" s="241"/>
      <c r="K2" s="1" t="s">
        <v>56</v>
      </c>
    </row>
    <row r="3" spans="1:14" ht="15" customHeight="1" x14ac:dyDescent="0.35">
      <c r="A3" s="4" t="str">
        <f>[1]Blank42!A113</f>
        <v>Prepared for:</v>
      </c>
      <c r="B3" s="242" t="str">
        <f>[1]Blank42!B113</f>
        <v>Mr. Client</v>
      </c>
      <c r="E3" s="4" t="str">
        <f>[1]Blank42!H114</f>
        <v>Prepared by:</v>
      </c>
      <c r="F3" s="243" t="str">
        <f>[1]Blank42!I114</f>
        <v>Illinois Corporate Investments Inc.</v>
      </c>
      <c r="G3" s="244"/>
      <c r="H3" s="245"/>
      <c r="I3" s="245"/>
      <c r="J3" s="4" t="str">
        <f>[1]Blank42!E114</f>
        <v>Preparer:</v>
      </c>
      <c r="K3" s="242" t="str">
        <f>[1]Blank42!F114</f>
        <v>Mr. Professional</v>
      </c>
    </row>
    <row r="4" spans="1:14" ht="6" customHeight="1" x14ac:dyDescent="0.35">
      <c r="C4" s="246"/>
      <c r="D4" s="247"/>
    </row>
    <row r="5" spans="1:14" ht="12" customHeight="1" x14ac:dyDescent="0.35">
      <c r="C5" s="246"/>
      <c r="D5" s="247"/>
      <c r="L5" s="248">
        <f ca="1">[1]Blank42!K113</f>
        <v>44412.60115613426</v>
      </c>
      <c r="M5" s="248"/>
      <c r="N5" s="4" t="s">
        <v>57</v>
      </c>
    </row>
    <row r="6" spans="1:14" ht="13.15" x14ac:dyDescent="0.4">
      <c r="A6" s="97"/>
      <c r="B6" s="97"/>
      <c r="C6" s="249"/>
      <c r="D6" s="139"/>
      <c r="E6" s="140" t="str">
        <f>[1]Blank42!E116</f>
        <v>Year0</v>
      </c>
      <c r="F6" s="140" t="str">
        <f>[1]Blank42!F116</f>
        <v>Year1</v>
      </c>
      <c r="G6" s="140" t="str">
        <f>[1]Blank42!G116</f>
        <v>Year2</v>
      </c>
      <c r="H6" s="140" t="str">
        <f>[1]Blank42!H116</f>
        <v>Year3</v>
      </c>
      <c r="I6" s="140" t="str">
        <f>[1]Blank42!I116</f>
        <v>Year4</v>
      </c>
      <c r="J6" s="140" t="str">
        <f>[1]Blank42!J116</f>
        <v>Year5</v>
      </c>
      <c r="K6" s="250"/>
      <c r="L6" s="140"/>
      <c r="M6" s="140"/>
      <c r="N6" s="140"/>
    </row>
    <row r="7" spans="1:14" ht="6" customHeight="1" x14ac:dyDescent="0.35">
      <c r="A7" s="20"/>
      <c r="B7" s="20"/>
      <c r="C7" s="20"/>
      <c r="D7" s="251"/>
      <c r="E7" s="20"/>
      <c r="F7" s="20"/>
      <c r="G7" s="20"/>
      <c r="H7" s="20"/>
      <c r="I7" s="20"/>
      <c r="J7" s="20"/>
      <c r="K7" s="20"/>
      <c r="L7" s="20"/>
      <c r="M7" s="20"/>
      <c r="N7" s="20"/>
    </row>
    <row r="8" spans="1:14" x14ac:dyDescent="0.35">
      <c r="A8" s="20"/>
      <c r="B8" s="20"/>
      <c r="C8" s="20"/>
      <c r="D8" s="252" t="str">
        <f>[1]Blank42!D118</f>
        <v>Sales</v>
      </c>
      <c r="E8" s="43" t="str">
        <f>[1]Blank42!E118</f>
        <v>5000</v>
      </c>
      <c r="F8" s="43">
        <f>[1]Blank42!F118</f>
        <v>5250</v>
      </c>
      <c r="G8" s="43">
        <f>[1]Blank42!G118</f>
        <v>5512.5</v>
      </c>
      <c r="H8" s="43">
        <f>[1]Blank42!H118</f>
        <v>5788.125</v>
      </c>
      <c r="I8" s="43">
        <f>[1]Blank42!I118</f>
        <v>6077.53125</v>
      </c>
      <c r="J8" s="43">
        <f>[1]Blank42!J118</f>
        <v>6381.4078125000005</v>
      </c>
      <c r="K8" s="253"/>
      <c r="L8" s="20"/>
      <c r="M8" s="20"/>
      <c r="N8" s="20"/>
    </row>
    <row r="9" spans="1:14" x14ac:dyDescent="0.35">
      <c r="A9" s="20"/>
      <c r="B9" s="20"/>
      <c r="C9" s="20"/>
      <c r="D9" s="254" t="str">
        <f>[1]Blank42!D119</f>
        <v>Sales Growth (%)</v>
      </c>
      <c r="E9" s="255"/>
      <c r="F9" s="256">
        <f>[1]Blank42!F119</f>
        <v>0.05</v>
      </c>
      <c r="G9" s="256">
        <f>[1]Blank42!G119</f>
        <v>0.05</v>
      </c>
      <c r="H9" s="256">
        <f>[1]Blank42!H119</f>
        <v>0.05</v>
      </c>
      <c r="I9" s="256">
        <f>[1]Blank42!I119</f>
        <v>0.05</v>
      </c>
      <c r="J9" s="256">
        <f>[1]Blank42!J119</f>
        <v>5.0000000000000093E-2</v>
      </c>
      <c r="K9" s="253"/>
      <c r="L9" s="257"/>
      <c r="M9" s="257"/>
      <c r="N9" s="257"/>
    </row>
    <row r="10" spans="1:14" ht="13.15" x14ac:dyDescent="0.4">
      <c r="A10" s="20"/>
      <c r="B10" s="20"/>
      <c r="C10" s="20"/>
      <c r="D10" s="258" t="str">
        <f>[1]Blank42!D120</f>
        <v>EBITDA</v>
      </c>
      <c r="E10" s="43">
        <f>[1]Blank42!E120</f>
        <v>750</v>
      </c>
      <c r="F10" s="43">
        <f>[1]Blank42!F120</f>
        <v>787.5</v>
      </c>
      <c r="G10" s="43">
        <f>[1]Blank42!G120</f>
        <v>826.875</v>
      </c>
      <c r="H10" s="43">
        <f>[1]Blank42!H120</f>
        <v>868.21875</v>
      </c>
      <c r="I10" s="43">
        <f>[1]Blank42!I120</f>
        <v>911.62968749999993</v>
      </c>
      <c r="J10" s="43">
        <f>[1]Blank42!J120</f>
        <v>957.21117187499999</v>
      </c>
      <c r="K10" s="257"/>
      <c r="L10" s="173"/>
      <c r="M10" s="173"/>
      <c r="N10" s="173"/>
    </row>
    <row r="11" spans="1:14" x14ac:dyDescent="0.35">
      <c r="A11" s="20"/>
      <c r="B11" s="20"/>
      <c r="C11" s="20"/>
      <c r="D11" s="254" t="str">
        <f>[1]Blank42!D121</f>
        <v>EBITDA (%)</v>
      </c>
      <c r="E11" s="259">
        <f>[1]Blank42!E121</f>
        <v>0.15</v>
      </c>
      <c r="F11" s="259">
        <f>[1]Blank42!F121</f>
        <v>0.15</v>
      </c>
      <c r="G11" s="259">
        <f>[1]Blank42!G121</f>
        <v>0.15</v>
      </c>
      <c r="H11" s="259">
        <f>[1]Blank42!H121</f>
        <v>0.15</v>
      </c>
      <c r="I11" s="259">
        <f>[1]Blank42!I121</f>
        <v>0.15</v>
      </c>
      <c r="J11" s="259">
        <f>[1]Blank42!J121</f>
        <v>0.15</v>
      </c>
      <c r="K11" s="257"/>
      <c r="L11" s="173"/>
      <c r="M11" s="173"/>
      <c r="N11" s="173"/>
    </row>
    <row r="12" spans="1:14" ht="6" customHeight="1" x14ac:dyDescent="0.35">
      <c r="A12" s="20"/>
      <c r="B12" s="20"/>
      <c r="C12" s="20"/>
      <c r="D12" s="20"/>
      <c r="E12" s="260"/>
      <c r="F12" s="20"/>
      <c r="G12" s="20"/>
      <c r="H12" s="20"/>
      <c r="I12" s="20"/>
      <c r="J12" s="20"/>
      <c r="K12" s="261"/>
      <c r="L12" s="261"/>
      <c r="M12" s="261"/>
      <c r="N12" s="261"/>
    </row>
    <row r="13" spans="1:14" x14ac:dyDescent="0.35">
      <c r="A13" s="20"/>
      <c r="B13" s="20"/>
      <c r="C13" s="20"/>
      <c r="D13" s="20"/>
      <c r="E13" s="72" t="str">
        <f>[1]Blank42!E128</f>
        <v>Earn-out Payments:Expense</v>
      </c>
      <c r="F13" s="68" t="str">
        <f>IF([1]Blank42!F128=0,FIXED(0,0,0),[1]Blank42!F128)</f>
        <v>0</v>
      </c>
      <c r="G13" s="68" t="str">
        <f>IF([1]Blank42!G128=0,FIXED(0,0,0),[1]Blank42!G128)</f>
        <v>0</v>
      </c>
      <c r="H13" s="68" t="str">
        <f>IF([1]Blank42!H128=0,FIXED(0,0,0),[1]Blank42!H128)</f>
        <v>0</v>
      </c>
      <c r="I13" s="68" t="str">
        <f>IF([1]Blank42!I128=0,FIXED(0,0,0),[1]Blank42!I128)</f>
        <v>0</v>
      </c>
      <c r="J13" s="68" t="str">
        <f>IF([1]Blank42!J128=0,FIXED(0,0,0),[1]Blank42!J128)</f>
        <v>0</v>
      </c>
      <c r="K13" s="261"/>
      <c r="L13" s="261"/>
      <c r="M13" s="261"/>
      <c r="N13" s="261"/>
    </row>
    <row r="14" spans="1:14" ht="14.65" x14ac:dyDescent="0.6">
      <c r="A14" s="20"/>
      <c r="B14" s="20"/>
      <c r="C14" s="20"/>
      <c r="D14" s="20"/>
      <c r="E14" s="262" t="str">
        <f>[1]Blank42!E126</f>
        <v>Remaining Consulting Payments</v>
      </c>
      <c r="F14" s="58" t="str">
        <f>IF([1]Blank42!F126=0,FIXED(0,0,0),[1]Blank42!F126)</f>
        <v>0</v>
      </c>
      <c r="G14" s="58" t="str">
        <f>IF([1]Blank42!G126=0,FIXED(0,0,0),[1]Blank42!G126)</f>
        <v>0</v>
      </c>
      <c r="H14" s="58" t="str">
        <f>IF([1]Blank42!H126=0,FIXED(0,0,0),[1]Blank42!H126)</f>
        <v>0</v>
      </c>
      <c r="I14" s="58" t="str">
        <f>IF([1]Blank42!I126=0,FIXED(0,0,0),[1]Blank42!I126)</f>
        <v>0</v>
      </c>
      <c r="J14" s="58" t="str">
        <f>IF([1]Blank42!J126=0,FIXED(0,0,0),[1]Blank42!J126)</f>
        <v>0</v>
      </c>
      <c r="K14" s="261"/>
      <c r="L14" s="261"/>
      <c r="M14" s="261"/>
      <c r="N14" s="261"/>
    </row>
    <row r="15" spans="1:14" ht="13.5" x14ac:dyDescent="0.45">
      <c r="A15" s="20"/>
      <c r="B15" s="20"/>
      <c r="C15" s="20"/>
      <c r="D15" s="20"/>
      <c r="E15" s="262" t="s">
        <v>58</v>
      </c>
      <c r="F15" s="62">
        <f>F10-F13-F14</f>
        <v>787.5</v>
      </c>
      <c r="G15" s="62">
        <f>G10-G13-G14</f>
        <v>826.875</v>
      </c>
      <c r="H15" s="62">
        <f>H10-H13-H14</f>
        <v>868.21875</v>
      </c>
      <c r="I15" s="62">
        <f>I10-I13-I14</f>
        <v>911.62968749999993</v>
      </c>
      <c r="J15" s="62">
        <f>J10-J13-J14</f>
        <v>957.21117187499999</v>
      </c>
      <c r="K15" s="261"/>
      <c r="L15" s="261"/>
      <c r="M15" s="261"/>
      <c r="N15" s="261"/>
    </row>
    <row r="16" spans="1:14" ht="6" customHeight="1" x14ac:dyDescent="0.35">
      <c r="A16" s="20"/>
      <c r="B16" s="20"/>
      <c r="C16" s="20"/>
      <c r="D16" s="20"/>
      <c r="E16" s="263"/>
      <c r="F16" s="264"/>
      <c r="G16" s="264"/>
      <c r="H16" s="264"/>
      <c r="I16" s="264"/>
      <c r="J16" s="264"/>
      <c r="K16" s="261"/>
      <c r="L16" s="261"/>
      <c r="M16" s="261"/>
      <c r="N16" s="261"/>
    </row>
    <row r="17" spans="1:14" x14ac:dyDescent="0.35">
      <c r="A17" s="20"/>
      <c r="B17" s="20"/>
      <c r="C17" s="20"/>
      <c r="D17" s="20"/>
      <c r="E17" s="265" t="s">
        <v>59</v>
      </c>
      <c r="F17" s="264"/>
      <c r="G17" s="264"/>
      <c r="H17" s="264"/>
      <c r="I17" s="264"/>
      <c r="J17" s="264"/>
      <c r="K17" s="261"/>
      <c r="L17" s="261"/>
      <c r="M17" s="261"/>
      <c r="N17" s="261"/>
    </row>
    <row r="18" spans="1:14" x14ac:dyDescent="0.35">
      <c r="A18" s="20"/>
      <c r="B18" s="20"/>
      <c r="C18" s="20"/>
      <c r="D18" s="20"/>
      <c r="E18" s="262" t="str">
        <f>[1]Blank42!E123</f>
        <v>Depreciation</v>
      </c>
      <c r="F18" s="68">
        <f>IF([1]Blank42!F123=0,FIXED(0,0,0),[1]Blank42!F123)</f>
        <v>215.75</v>
      </c>
      <c r="G18" s="68">
        <f>IF([1]Blank42!G123=0,FIXED(0,0,0),[1]Blank42!G123)</f>
        <v>232.28750000000002</v>
      </c>
      <c r="H18" s="68">
        <f>IF([1]Blank42!H123=0,FIXED(0,0,0),[1]Blank42!H123)</f>
        <v>249.65187500000002</v>
      </c>
      <c r="I18" s="68">
        <f>IF([1]Blank42!I123=0,FIXED(0,0,0),[1]Blank42!I123)</f>
        <v>267.88446875</v>
      </c>
      <c r="J18" s="68">
        <f>IF([1]Blank42!J123=0,FIXED(0,0,0),[1]Blank42!J123)</f>
        <v>287.02869218750004</v>
      </c>
      <c r="K18" s="261"/>
      <c r="L18" s="261"/>
      <c r="M18" s="261"/>
      <c r="N18" s="261"/>
    </row>
    <row r="19" spans="1:14" x14ac:dyDescent="0.35">
      <c r="A19" s="20"/>
      <c r="B19" s="20"/>
      <c r="C19" s="20"/>
      <c r="D19" s="20"/>
      <c r="E19" s="262" t="str">
        <f>[1]Blank42!E124</f>
        <v>Non-Compete Amortization</v>
      </c>
      <c r="F19" s="68" t="str">
        <f>IF([1]Blank42!F124=0,FIXED(0,0,0),[1]Blank42!F124)</f>
        <v>0</v>
      </c>
      <c r="G19" s="68" t="str">
        <f>IF([1]Blank42!G124=0,FIXED(0,0,0),[1]Blank42!G124)</f>
        <v>0</v>
      </c>
      <c r="H19" s="68" t="str">
        <f>IF([1]Blank42!H124=0,FIXED(0,0,0),[1]Blank42!H124)</f>
        <v>0</v>
      </c>
      <c r="I19" s="68" t="str">
        <f>IF([1]Blank42!I124=0,FIXED(0,0,0),[1]Blank42!I124)</f>
        <v>0</v>
      </c>
      <c r="J19" s="68" t="str">
        <f>IF([1]Blank42!J124=0,FIXED(0,0,0),[1]Blank42!J124)</f>
        <v>0</v>
      </c>
      <c r="K19" s="261"/>
      <c r="L19" s="261"/>
      <c r="M19" s="261"/>
      <c r="N19" s="261"/>
    </row>
    <row r="20" spans="1:14" x14ac:dyDescent="0.35">
      <c r="A20" s="20"/>
      <c r="B20" s="20"/>
      <c r="C20" s="20"/>
      <c r="D20" s="20"/>
      <c r="E20" s="262" t="str">
        <f>[1]Blank42!E125</f>
        <v>Personal Goodwill Amortization</v>
      </c>
      <c r="F20" s="68" t="str">
        <f>IF([1]Blank42!F125=0,FIXED(0,0,0),[1]Blank42!F125)</f>
        <v>0</v>
      </c>
      <c r="G20" s="68" t="str">
        <f>IF([1]Blank42!G125=0,FIXED(0,0,0),[1]Blank42!G125)</f>
        <v>0</v>
      </c>
      <c r="H20" s="68" t="str">
        <f>IF([1]Blank42!H125=0,FIXED(0,0,0),[1]Blank42!H125)</f>
        <v>0</v>
      </c>
      <c r="I20" s="68" t="str">
        <f>IF([1]Blank42!I125=0,FIXED(0,0,0),[1]Blank42!I125)</f>
        <v>0</v>
      </c>
      <c r="J20" s="68" t="str">
        <f>IF([1]Blank42!J125=0,FIXED(0,0,0),[1]Blank42!J125)</f>
        <v>0</v>
      </c>
      <c r="K20" s="261"/>
      <c r="L20" s="261"/>
      <c r="M20" s="261"/>
      <c r="N20" s="261"/>
    </row>
    <row r="21" spans="1:14" x14ac:dyDescent="0.35">
      <c r="A21" s="20"/>
      <c r="B21" s="20"/>
      <c r="C21" s="20"/>
      <c r="D21" s="20"/>
      <c r="E21" s="72" t="str">
        <f>[1]Blank42!E127</f>
        <v>Prepaid Consulting Amortization</v>
      </c>
      <c r="F21" s="68" t="str">
        <f>IF([1]Blank42!F127=0,FIXED(0,0,0),[1]Blank42!F127)</f>
        <v>0</v>
      </c>
      <c r="G21" s="68" t="str">
        <f>IF([1]Blank42!G127=0,FIXED(0,0,0),[1]Blank42!G127)</f>
        <v>0</v>
      </c>
      <c r="H21" s="68" t="str">
        <f>IF([1]Blank42!H127=0,FIXED(0,0,0),[1]Blank42!H127)</f>
        <v>0</v>
      </c>
      <c r="I21" s="68" t="str">
        <f>IF([1]Blank42!I127=0,FIXED(0,0,0),[1]Blank42!I127)</f>
        <v>0</v>
      </c>
      <c r="J21" s="68" t="str">
        <f>IF([1]Blank42!J127=0,FIXED(0,0,0),[1]Blank42!J127)</f>
        <v>0</v>
      </c>
      <c r="K21" s="261"/>
      <c r="L21" s="261"/>
      <c r="M21" s="261"/>
      <c r="N21" s="261"/>
    </row>
    <row r="22" spans="1:14" x14ac:dyDescent="0.35">
      <c r="A22" s="20"/>
      <c r="B22" s="20"/>
      <c r="C22" s="20"/>
      <c r="D22" s="20"/>
      <c r="E22" s="262" t="str">
        <f>[1]Blank42!E129</f>
        <v>Acquisition Cost Amort</v>
      </c>
      <c r="F22" s="68">
        <f>IF([1]Blank42!F129=0,FIXED(0,0,0),[1]Blank42!F129)</f>
        <v>14.690560591944694</v>
      </c>
      <c r="G22" s="68">
        <f>IF([1]Blank42!G129=0,FIXED(0,0,0),[1]Blank42!G129)</f>
        <v>14.690560591944694</v>
      </c>
      <c r="H22" s="68">
        <f>IF([1]Blank42!H129=0,FIXED(0,0,0),[1]Blank42!H129)</f>
        <v>14.690560591944694</v>
      </c>
      <c r="I22" s="68">
        <f>IF([1]Blank42!I129=0,FIXED(0,0,0),[1]Blank42!I129)</f>
        <v>14.690560591944694</v>
      </c>
      <c r="J22" s="68">
        <f>IF([1]Blank42!J129=0,FIXED(0,0,0),[1]Blank42!J129)</f>
        <v>14.690560591944694</v>
      </c>
      <c r="K22" s="261"/>
      <c r="L22" s="261"/>
      <c r="M22" s="261"/>
      <c r="N22" s="261"/>
    </row>
    <row r="23" spans="1:14" ht="14.65" x14ac:dyDescent="0.6">
      <c r="A23" s="20"/>
      <c r="B23" s="20"/>
      <c r="C23" s="20"/>
      <c r="D23" s="20"/>
      <c r="E23" s="262" t="str">
        <f>[1]Blank42!E130</f>
        <v>Goodwill Amort (Tax deductible)</v>
      </c>
      <c r="F23" s="58">
        <f>IF([1]Blank42!F130=0,FIXED(0,0,0),[1]Blank42!F130)</f>
        <v>164.84267653241156</v>
      </c>
      <c r="G23" s="58">
        <f>IF([1]Blank42!G130=0,FIXED(0,0,0),[1]Blank42!G130)</f>
        <v>164.84267653241156</v>
      </c>
      <c r="H23" s="58">
        <f>IF([1]Blank42!H130=0,FIXED(0,0,0),[1]Blank42!H130)</f>
        <v>164.84267653241156</v>
      </c>
      <c r="I23" s="58">
        <f>IF([1]Blank42!I130=0,FIXED(0,0,0),[1]Blank42!I130)</f>
        <v>164.84267653241156</v>
      </c>
      <c r="J23" s="58">
        <f>IF([1]Blank42!J130=0,FIXED(0,0,0),[1]Blank42!J130)</f>
        <v>164.84267653241156</v>
      </c>
      <c r="K23" s="261"/>
      <c r="L23" s="261"/>
      <c r="M23" s="261"/>
      <c r="N23" s="261"/>
    </row>
    <row r="24" spans="1:14" x14ac:dyDescent="0.35">
      <c r="A24" s="20"/>
      <c r="B24" s="20"/>
      <c r="C24" s="20"/>
      <c r="D24" s="20"/>
      <c r="E24" s="262" t="s">
        <v>60</v>
      </c>
      <c r="F24" s="43">
        <f>SUM(F18:F23)</f>
        <v>395.28323712435622</v>
      </c>
      <c r="G24" s="43">
        <f>SUM(G18:G23)</f>
        <v>411.82073712435624</v>
      </c>
      <c r="H24" s="43">
        <f>SUM(H18:H23)</f>
        <v>429.18511212435624</v>
      </c>
      <c r="I24" s="43">
        <f>SUM(I18:I23)</f>
        <v>447.41770587435622</v>
      </c>
      <c r="J24" s="43">
        <f>SUM(J18:J23)</f>
        <v>466.56192931185626</v>
      </c>
      <c r="K24" s="261"/>
      <c r="L24" s="261"/>
      <c r="M24" s="261"/>
      <c r="N24" s="261"/>
    </row>
    <row r="25" spans="1:14" ht="6" customHeight="1" x14ac:dyDescent="0.35">
      <c r="A25" s="20"/>
      <c r="B25" s="20"/>
      <c r="C25" s="20"/>
      <c r="D25" s="20"/>
      <c r="E25" s="262"/>
      <c r="F25" s="43"/>
      <c r="G25" s="43"/>
      <c r="H25" s="43"/>
      <c r="I25" s="43"/>
      <c r="J25" s="43"/>
      <c r="K25" s="261"/>
      <c r="L25" s="261"/>
      <c r="M25" s="261"/>
      <c r="N25" s="261"/>
    </row>
    <row r="26" spans="1:14" ht="12.75" customHeight="1" x14ac:dyDescent="0.45">
      <c r="A26" s="20"/>
      <c r="B26" s="20"/>
      <c r="C26" s="20"/>
      <c r="D26" s="20"/>
      <c r="E26" s="262" t="s">
        <v>61</v>
      </c>
      <c r="F26" s="62">
        <f>F15-F24</f>
        <v>392.21676287564378</v>
      </c>
      <c r="G26" s="62">
        <f>G15-G24</f>
        <v>415.05426287564376</v>
      </c>
      <c r="H26" s="62">
        <f>H15-H24</f>
        <v>439.03363787564376</v>
      </c>
      <c r="I26" s="62">
        <f>I15-I24</f>
        <v>464.21198162564372</v>
      </c>
      <c r="J26" s="62">
        <f>J15-J24</f>
        <v>490.64924256314373</v>
      </c>
      <c r="K26" s="261"/>
      <c r="L26" s="261"/>
      <c r="M26" s="261"/>
      <c r="N26" s="261"/>
    </row>
    <row r="27" spans="1:14" ht="6" customHeight="1" x14ac:dyDescent="0.35">
      <c r="A27" s="20"/>
      <c r="B27" s="20"/>
      <c r="C27" s="20"/>
      <c r="D27" s="20"/>
      <c r="E27" s="263"/>
      <c r="F27" s="43"/>
      <c r="G27" s="43"/>
      <c r="H27" s="43"/>
      <c r="I27" s="43"/>
      <c r="J27" s="43"/>
      <c r="K27" s="261"/>
      <c r="L27" s="261"/>
      <c r="M27" s="261"/>
      <c r="N27" s="261"/>
    </row>
    <row r="28" spans="1:14" x14ac:dyDescent="0.35">
      <c r="A28" s="20"/>
      <c r="B28" s="20"/>
      <c r="C28" s="20"/>
      <c r="D28" s="20"/>
      <c r="E28" s="265" t="s">
        <v>62</v>
      </c>
      <c r="F28" s="264"/>
      <c r="G28" s="264"/>
      <c r="H28" s="264"/>
      <c r="I28" s="264"/>
      <c r="J28" s="264"/>
      <c r="K28" s="261"/>
      <c r="L28" s="261"/>
      <c r="M28" s="261"/>
      <c r="N28" s="261"/>
    </row>
    <row r="29" spans="1:14" x14ac:dyDescent="0.35">
      <c r="A29" s="266"/>
      <c r="B29" s="20"/>
      <c r="C29" s="20"/>
      <c r="D29" s="20"/>
      <c r="E29" s="262" t="str">
        <f>[1]Blank42!E131</f>
        <v>Interest Exp-Revolver</v>
      </c>
      <c r="F29" s="68">
        <f>IF([1]Blank42!F131=0,FIXED(0,0,0),[1]Blank42!F131)</f>
        <v>84</v>
      </c>
      <c r="G29" s="68">
        <f>IF([1]Blank42!G131=0,FIXED(0,0,0),[1]Blank42!G131)</f>
        <v>88.2</v>
      </c>
      <c r="H29" s="68">
        <f>IF([1]Blank42!H131=0,FIXED(0,0,0),[1]Blank42!H131)</f>
        <v>89.245887433134143</v>
      </c>
      <c r="I29" s="68">
        <f>IF([1]Blank42!I131=0,FIXED(0,0,0),[1]Blank42!I131)</f>
        <v>86.827063102153588</v>
      </c>
      <c r="J29" s="68">
        <f>IF([1]Blank42!J131=0,FIXED(0,0,0),[1]Blank42!J131)</f>
        <v>80.614466678480582</v>
      </c>
      <c r="K29" s="257"/>
      <c r="L29" s="20"/>
      <c r="M29" s="20"/>
      <c r="N29" s="20"/>
    </row>
    <row r="30" spans="1:14" x14ac:dyDescent="0.35">
      <c r="A30" s="266"/>
      <c r="B30" s="20"/>
      <c r="C30" s="20"/>
      <c r="D30" s="20"/>
      <c r="E30" s="262" t="str">
        <f>[1]Blank42!E132</f>
        <v>Interest Exp-Term Loan</v>
      </c>
      <c r="F30" s="68">
        <f>IF([1]Blank42!F132=0,FIXED(0,0,0),[1]Blank42!F132)</f>
        <v>80</v>
      </c>
      <c r="G30" s="68">
        <f>IF([1]Blank42!G132=0,FIXED(0,0,0),[1]Blank42!G132)</f>
        <v>64</v>
      </c>
      <c r="H30" s="68">
        <f>IF([1]Blank42!H132=0,FIXED(0,0,0),[1]Blank42!H132)</f>
        <v>48</v>
      </c>
      <c r="I30" s="68">
        <f>IF([1]Blank42!I132=0,FIXED(0,0,0),[1]Blank42!I132)</f>
        <v>32</v>
      </c>
      <c r="J30" s="68">
        <f>IF([1]Blank42!J132=0,FIXED(0,0,0),[1]Blank42!J132)</f>
        <v>16</v>
      </c>
      <c r="K30" s="257"/>
      <c r="L30" s="20"/>
      <c r="M30" s="20"/>
      <c r="N30" s="20"/>
    </row>
    <row r="31" spans="1:14" x14ac:dyDescent="0.35">
      <c r="A31" s="266"/>
      <c r="B31" s="20"/>
      <c r="C31" s="20"/>
      <c r="D31" s="20"/>
      <c r="E31" s="262" t="str">
        <f>[1]Blank42!E133</f>
        <v>Interest Exp-Over Advance Loan</v>
      </c>
      <c r="F31" s="68" t="str">
        <f>IF([1]Blank42!F133=0,FIXED(0,0,0),[1]Blank42!F133)</f>
        <v>0</v>
      </c>
      <c r="G31" s="68" t="str">
        <f>IF([1]Blank42!G133=0,FIXED(0,0,0),[1]Blank42!G133)</f>
        <v>0</v>
      </c>
      <c r="H31" s="68" t="str">
        <f>IF([1]Blank42!H133=0,FIXED(0,0,0),[1]Blank42!H133)</f>
        <v>0</v>
      </c>
      <c r="I31" s="68" t="str">
        <f>IF([1]Blank42!I133=0,FIXED(0,0,0),[1]Blank42!I133)</f>
        <v>0</v>
      </c>
      <c r="J31" s="68" t="str">
        <f>IF([1]Blank42!J133=0,FIXED(0,0,0),[1]Blank42!J133)</f>
        <v>0</v>
      </c>
      <c r="K31" s="257"/>
      <c r="L31" s="20"/>
      <c r="M31" s="20"/>
      <c r="N31" s="20"/>
    </row>
    <row r="32" spans="1:14" x14ac:dyDescent="0.35">
      <c r="A32" s="266"/>
      <c r="B32" s="20"/>
      <c r="C32" s="20"/>
      <c r="D32" s="20"/>
      <c r="E32" s="262" t="str">
        <f>[1]Blank42!E134</f>
        <v>Interest Exp-Mezzanine Financing</v>
      </c>
      <c r="F32" s="68" t="str">
        <f>IF([1]Blank42!F134=0,FIXED(0,0,0),[1]Blank42!F134)</f>
        <v>0</v>
      </c>
      <c r="G32" s="68" t="str">
        <f>IF([1]Blank42!G134=0,FIXED(0,0,0),[1]Blank42!G134)</f>
        <v>0</v>
      </c>
      <c r="H32" s="68" t="str">
        <f>IF([1]Blank42!H134=0,FIXED(0,0,0),[1]Blank42!H134)</f>
        <v>0</v>
      </c>
      <c r="I32" s="68" t="str">
        <f>IF([1]Blank42!I134=0,FIXED(0,0,0),[1]Blank42!I134)</f>
        <v>0</v>
      </c>
      <c r="J32" s="68" t="str">
        <f>IF([1]Blank42!J134=0,FIXED(0,0,0),[1]Blank42!J134)</f>
        <v>0</v>
      </c>
      <c r="K32" s="257"/>
      <c r="L32" s="20"/>
      <c r="M32" s="20"/>
      <c r="N32" s="20"/>
    </row>
    <row r="33" spans="1:14" x14ac:dyDescent="0.35">
      <c r="A33" s="266"/>
      <c r="B33" s="20"/>
      <c r="C33" s="20"/>
      <c r="D33" s="20"/>
      <c r="E33" s="262" t="str">
        <f>[1]Blank42!E135</f>
        <v>Interest Exp-Cap Ex Loan</v>
      </c>
      <c r="F33" s="68">
        <f>IF([1]Blank42!F135=0,FIXED(0,0,0),[1]Blank42!F135)</f>
        <v>5.90625</v>
      </c>
      <c r="G33" s="68">
        <f>IF([1]Blank42!G135=0,FIXED(0,0,0),[1]Blank42!G135)</f>
        <v>10.926562500000001</v>
      </c>
      <c r="H33" s="68">
        <f>IF([1]Blank42!H135=0,FIXED(0,0,0),[1]Blank42!H135)</f>
        <v>15.016640625000003</v>
      </c>
      <c r="I33" s="68">
        <f>IF([1]Blank42!I135=0,FIXED(0,0,0),[1]Blank42!I135)</f>
        <v>18.129972656250004</v>
      </c>
      <c r="J33" s="68">
        <f>IF([1]Blank42!J135=0,FIXED(0,0,0),[1]Blank42!J135)</f>
        <v>20.217721289062506</v>
      </c>
      <c r="K33" s="257"/>
      <c r="L33" s="20"/>
      <c r="M33" s="20"/>
      <c r="N33" s="20"/>
    </row>
    <row r="34" spans="1:14" x14ac:dyDescent="0.35">
      <c r="A34" s="266"/>
      <c r="B34" s="20"/>
      <c r="C34" s="20"/>
      <c r="D34" s="20"/>
      <c r="E34" s="262" t="str">
        <f>[1]Blank42!E136</f>
        <v>Interest Exp-Gap(Seller) Note</v>
      </c>
      <c r="F34" s="68">
        <f>IF([1]Blank42!F136=0,FIXED(0,0,0),[1]Blank42!F136)</f>
        <v>122.08550984519884</v>
      </c>
      <c r="G34" s="68">
        <f>IF([1]Blank42!G136=0,FIXED(0,0,0),[1]Blank42!G136)</f>
        <v>97.66840787615908</v>
      </c>
      <c r="H34" s="68">
        <f>IF([1]Blank42!H136=0,FIXED(0,0,0),[1]Blank42!H136)</f>
        <v>73.251305907119317</v>
      </c>
      <c r="I34" s="68">
        <f>IF([1]Blank42!I136=0,FIXED(0,0,0),[1]Blank42!I136)</f>
        <v>48.834203938079547</v>
      </c>
      <c r="J34" s="68">
        <f>IF([1]Blank42!J136=0,FIXED(0,0,0),[1]Blank42!J136)</f>
        <v>24.417101969039777</v>
      </c>
      <c r="K34" s="257"/>
      <c r="L34" s="20"/>
      <c r="M34" s="20"/>
      <c r="N34" s="20"/>
    </row>
    <row r="35" spans="1:14" x14ac:dyDescent="0.35">
      <c r="A35" s="266"/>
      <c r="B35" s="20"/>
      <c r="C35" s="20"/>
      <c r="D35" s="20"/>
      <c r="E35" s="262" t="str">
        <f>[1]Blank42!E137</f>
        <v>Interest Exp-Gap(Seller) Balloon Note</v>
      </c>
      <c r="F35" s="68" t="str">
        <f>IF([1]Blank42!F137=0,FIXED(0,0,0),[1]Blank42!F137)</f>
        <v>0</v>
      </c>
      <c r="G35" s="68" t="str">
        <f>IF([1]Blank42!G137=0,FIXED(0,0,0),[1]Blank42!G137)</f>
        <v>0</v>
      </c>
      <c r="H35" s="68" t="str">
        <f>IF([1]Blank42!H137=0,FIXED(0,0,0),[1]Blank42!H137)</f>
        <v>0</v>
      </c>
      <c r="I35" s="68" t="str">
        <f>IF([1]Blank42!I137=0,FIXED(0,0,0),[1]Blank42!I137)</f>
        <v>0</v>
      </c>
      <c r="J35" s="68" t="str">
        <f>IF([1]Blank42!J137=0,FIXED(0,0,0),[1]Blank42!J137)</f>
        <v>0</v>
      </c>
      <c r="K35" s="257"/>
      <c r="L35" s="20"/>
      <c r="M35" s="20"/>
      <c r="N35" s="20"/>
    </row>
    <row r="36" spans="1:14" x14ac:dyDescent="0.35">
      <c r="A36" s="266"/>
      <c r="B36" s="20"/>
      <c r="C36" s="20"/>
      <c r="D36" s="20"/>
      <c r="E36" s="262" t="str">
        <f>[1]Blank42!E138</f>
        <v>Interest Exp-Non-Compete</v>
      </c>
      <c r="F36" s="68" t="str">
        <f>IF([1]Blank42!F138=0,FIXED(0,0,0),[1]Blank42!F138)</f>
        <v>0</v>
      </c>
      <c r="G36" s="68" t="str">
        <f>IF([1]Blank42!G138=0,FIXED(0,0,0),[1]Blank42!G138)</f>
        <v>0</v>
      </c>
      <c r="H36" s="68" t="str">
        <f>IF([1]Blank42!H138=0,FIXED(0,0,0),[1]Blank42!H138)</f>
        <v>0</v>
      </c>
      <c r="I36" s="68" t="str">
        <f>IF([1]Blank42!I138=0,FIXED(0,0,0),[1]Blank42!I138)</f>
        <v>0</v>
      </c>
      <c r="J36" s="68" t="str">
        <f>IF([1]Blank42!J138=0,FIXED(0,0,0),[1]Blank42!J138)</f>
        <v>0</v>
      </c>
      <c r="K36" s="257"/>
      <c r="L36" s="20"/>
      <c r="M36" s="20"/>
      <c r="N36" s="20"/>
    </row>
    <row r="37" spans="1:14" x14ac:dyDescent="0.35">
      <c r="A37" s="266"/>
      <c r="B37" s="20"/>
      <c r="C37" s="20"/>
      <c r="D37" s="20"/>
      <c r="E37" s="262" t="str">
        <f>[1]Blank42!E139</f>
        <v>Interest Expense-Personal Goodwill</v>
      </c>
      <c r="F37" s="68" t="str">
        <f>IF([1]Blank42!F139=0,FIXED(0,0,0),[1]Blank42!F139)</f>
        <v>0</v>
      </c>
      <c r="G37" s="68" t="str">
        <f>IF([1]Blank42!G139=0,FIXED(0,0,0),[1]Blank42!G139)</f>
        <v>0</v>
      </c>
      <c r="H37" s="68" t="str">
        <f>IF([1]Blank42!H139=0,FIXED(0,0,0),[1]Blank42!H139)</f>
        <v>0</v>
      </c>
      <c r="I37" s="68" t="str">
        <f>IF([1]Blank42!I139=0,FIXED(0,0,0),[1]Blank42!I139)</f>
        <v>0</v>
      </c>
      <c r="J37" s="68" t="str">
        <f>IF([1]Blank42!J139=0,FIXED(0,0,0),[1]Blank42!J139)</f>
        <v>0</v>
      </c>
      <c r="K37" s="257"/>
      <c r="L37" s="20"/>
      <c r="M37" s="20"/>
      <c r="N37" s="20"/>
    </row>
    <row r="38" spans="1:14" ht="14.65" x14ac:dyDescent="0.6">
      <c r="A38" s="20"/>
      <c r="B38" s="20"/>
      <c r="C38" s="20"/>
      <c r="D38" s="20"/>
      <c r="E38" s="262" t="str">
        <f>[1]Blank42!E140</f>
        <v>Interest Income on Cash</v>
      </c>
      <c r="F38" s="58" t="str">
        <f>IF([1]Blank42!F140=0,FIXED(0,0,0),[1]Blank42!F140)</f>
        <v>0</v>
      </c>
      <c r="G38" s="58" t="str">
        <f>IF([1]Blank42!G140=0,FIXED(0,0,0),[1]Blank42!G140)</f>
        <v>0</v>
      </c>
      <c r="H38" s="58" t="str">
        <f>IF([1]Blank42!H140=0,FIXED(0,0,0),[1]Blank42!H140)</f>
        <v>0</v>
      </c>
      <c r="I38" s="58" t="str">
        <f>IF([1]Blank42!I140=0,FIXED(0,0,0),[1]Blank42!I140)</f>
        <v>0</v>
      </c>
      <c r="J38" s="58" t="str">
        <f>IF([1]Blank42!J140=0,FIXED(0,0,0),[1]Blank42!J140)</f>
        <v>0</v>
      </c>
      <c r="K38" s="257"/>
      <c r="L38" s="20"/>
      <c r="M38" s="20"/>
      <c r="N38" s="20"/>
    </row>
    <row r="39" spans="1:14" x14ac:dyDescent="0.35">
      <c r="A39" s="20"/>
      <c r="B39" s="20"/>
      <c r="C39" s="20"/>
      <c r="D39" s="20"/>
      <c r="E39" s="262" t="s">
        <v>63</v>
      </c>
      <c r="F39" s="68">
        <f>SUM(F29:F38)</f>
        <v>291.99175984519883</v>
      </c>
      <c r="G39" s="68">
        <f>SUM(G29:G38)</f>
        <v>260.79497037615909</v>
      </c>
      <c r="H39" s="68">
        <f>SUM(H29:H38)</f>
        <v>225.51383396525347</v>
      </c>
      <c r="I39" s="68">
        <f>SUM(I29:I38)</f>
        <v>185.79123969648316</v>
      </c>
      <c r="J39" s="68">
        <f>SUM(J29:J38)</f>
        <v>141.24928993658287</v>
      </c>
      <c r="K39" s="257"/>
      <c r="L39" s="20"/>
      <c r="M39" s="20"/>
      <c r="N39" s="20"/>
    </row>
    <row r="40" spans="1:14" ht="6" customHeight="1" x14ac:dyDescent="0.35">
      <c r="A40" s="20"/>
      <c r="B40" s="20"/>
      <c r="C40" s="20"/>
      <c r="D40" s="20"/>
      <c r="E40" s="263"/>
      <c r="F40" s="43"/>
      <c r="G40" s="43"/>
      <c r="H40" s="43"/>
      <c r="I40" s="43"/>
      <c r="J40" s="43"/>
      <c r="K40" s="257"/>
      <c r="L40" s="20"/>
      <c r="M40" s="20"/>
      <c r="N40" s="20"/>
    </row>
    <row r="41" spans="1:14" ht="13.5" x14ac:dyDescent="0.45">
      <c r="A41" s="20"/>
      <c r="B41" s="20"/>
      <c r="C41" s="20"/>
      <c r="D41" s="20"/>
      <c r="E41" s="267" t="str">
        <f>[1]Blank42!E142</f>
        <v>Taxable Income</v>
      </c>
      <c r="F41" s="268">
        <f>[1]Blank42!F142</f>
        <v>100.2250030304449</v>
      </c>
      <c r="G41" s="268">
        <f>[1]Blank42!G142</f>
        <v>154.25929249948467</v>
      </c>
      <c r="H41" s="268">
        <f>[1]Blank42!H142</f>
        <v>213.51980391039024</v>
      </c>
      <c r="I41" s="268">
        <f>[1]Blank42!I142</f>
        <v>278.4207419291605</v>
      </c>
      <c r="J41" s="268">
        <f>[1]Blank42!J142</f>
        <v>349.39995262656089</v>
      </c>
      <c r="K41" s="257"/>
      <c r="L41" s="20"/>
      <c r="M41" s="20"/>
      <c r="N41" s="20"/>
    </row>
    <row r="42" spans="1:14" ht="6" customHeight="1" x14ac:dyDescent="0.35">
      <c r="A42" s="20"/>
      <c r="B42" s="20"/>
      <c r="C42" s="20"/>
      <c r="D42" s="20"/>
      <c r="E42" s="263"/>
      <c r="F42" s="264"/>
      <c r="G42" s="264"/>
      <c r="H42" s="264"/>
      <c r="I42" s="264"/>
      <c r="J42" s="264"/>
      <c r="K42" s="257"/>
      <c r="L42" s="20"/>
      <c r="M42" s="20"/>
      <c r="N42" s="20"/>
    </row>
    <row r="43" spans="1:14" x14ac:dyDescent="0.35">
      <c r="A43" s="20"/>
      <c r="B43" s="20"/>
      <c r="C43" s="20"/>
      <c r="D43" s="20"/>
      <c r="E43" s="262" t="str">
        <f>[1]Blank42!E143</f>
        <v>Corp. Taxes: State</v>
      </c>
      <c r="F43" s="43">
        <f>[1]Blank42!F143</f>
        <v>3.0067500909133469</v>
      </c>
      <c r="G43" s="43">
        <f>[1]Blank42!G143</f>
        <v>4.6277787749845398</v>
      </c>
      <c r="H43" s="43">
        <f>[1]Blank42!H143</f>
        <v>6.4055941173117068</v>
      </c>
      <c r="I43" s="43">
        <f>[1]Blank42!I143</f>
        <v>8.352622257874815</v>
      </c>
      <c r="J43" s="43">
        <f>[1]Blank42!J143</f>
        <v>10.481998578796826</v>
      </c>
      <c r="K43" s="257"/>
      <c r="L43" s="20"/>
      <c r="M43" s="20"/>
      <c r="N43" s="20"/>
    </row>
    <row r="44" spans="1:14" ht="14.65" x14ac:dyDescent="0.6">
      <c r="A44" s="20"/>
      <c r="B44" s="20"/>
      <c r="C44" s="20"/>
      <c r="D44" s="20"/>
      <c r="E44" s="262" t="str">
        <f>[1]Blank42!E144</f>
        <v>Corp. Taxes: Federal</v>
      </c>
      <c r="F44" s="58" t="str">
        <f>IF([1]Blank42!F144=0,FIXED(0,0,0),[1]Blank42!F144)</f>
        <v>0</v>
      </c>
      <c r="G44" s="58" t="str">
        <f>IF([1]Blank42!G144=0,FIXED(0,0,0),[1]Blank42!G144)</f>
        <v>0</v>
      </c>
      <c r="H44" s="58" t="str">
        <f>IF([1]Blank42!H144=0,FIXED(0,0,0),[1]Blank42!H144)</f>
        <v>0</v>
      </c>
      <c r="I44" s="58" t="str">
        <f>IF([1]Blank42!I144=0,FIXED(0,0,0),[1]Blank42!I144)</f>
        <v>0</v>
      </c>
      <c r="J44" s="58" t="str">
        <f>IF([1]Blank42!J144=0,FIXED(0,0,0),[1]Blank42!J144)</f>
        <v>0</v>
      </c>
      <c r="K44" s="257"/>
      <c r="L44" s="20"/>
      <c r="M44" s="20"/>
      <c r="N44" s="20"/>
    </row>
    <row r="45" spans="1:14" ht="13.5" x14ac:dyDescent="0.45">
      <c r="A45" s="269" t="str">
        <f ca="1">ROUND(A53,0)&amp;[1]Blank42!O11</f>
        <v>8164150</v>
      </c>
      <c r="B45" s="270" t="str">
        <f>[1]Blank42!$A$9</f>
        <v>BVX®</v>
      </c>
      <c r="C45" s="20"/>
      <c r="D45" s="20"/>
      <c r="E45" s="267" t="str">
        <f>[1]Blank42!E145</f>
        <v>Net Income</v>
      </c>
      <c r="F45" s="62">
        <f>[1]Blank42!F145</f>
        <v>97.218252939531553</v>
      </c>
      <c r="G45" s="62">
        <f>[1]Blank42!G145</f>
        <v>149.63151372450014</v>
      </c>
      <c r="H45" s="62">
        <f>[1]Blank42!H145</f>
        <v>207.11420979307854</v>
      </c>
      <c r="I45" s="62">
        <f>[1]Blank42!I145</f>
        <v>270.06811967128567</v>
      </c>
      <c r="J45" s="62">
        <f>[1]Blank42!J145</f>
        <v>338.91795404776406</v>
      </c>
      <c r="K45" s="257"/>
      <c r="L45" s="20"/>
      <c r="M45" s="20"/>
      <c r="N45" s="20"/>
    </row>
    <row r="53" spans="1:1" x14ac:dyDescent="0.35">
      <c r="A53" s="234">
        <f ca="1">'[1]Valuation 1'!$A$44</f>
        <v>816414.83860721253</v>
      </c>
    </row>
  </sheetData>
  <mergeCells count="1">
    <mergeCell ref="L5:M5"/>
  </mergeCells>
  <pageMargins left="0.75" right="0.75" top="1" bottom="1" header="0.5" footer="0.5"/>
  <pageSetup scale="93"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11A84-468F-4547-A32E-F3868BAF664A}">
  <sheetPr codeName="Sheet2">
    <pageSetUpPr fitToPage="1"/>
  </sheetPr>
  <dimension ref="A1:P96"/>
  <sheetViews>
    <sheetView showGridLines="0" topLeftCell="A19" zoomScaleNormal="100" workbookViewId="0">
      <selection activeCell="K44" sqref="K44:O45"/>
    </sheetView>
  </sheetViews>
  <sheetFormatPr defaultRowHeight="12" customHeight="1" x14ac:dyDescent="0.35"/>
  <cols>
    <col min="1" max="1" width="12.69140625" style="1" customWidth="1"/>
    <col min="2" max="2" width="9.23046875" style="1"/>
    <col min="3" max="3" width="10.765625" style="1" customWidth="1"/>
    <col min="4" max="4" width="12.15234375" style="1" customWidth="1"/>
    <col min="5" max="5" width="15.53515625" style="1" customWidth="1"/>
    <col min="6" max="6" width="10.765625" style="1" customWidth="1"/>
    <col min="7" max="7" width="11" style="1" customWidth="1"/>
    <col min="8" max="8" width="10.765625" style="1" customWidth="1"/>
    <col min="9" max="14" width="12.15234375" style="1" customWidth="1"/>
    <col min="15" max="15" width="8.07421875" style="1" customWidth="1"/>
    <col min="16" max="16" width="1" style="1" customWidth="1"/>
    <col min="17" max="16384" width="9.23046875" style="1"/>
  </cols>
  <sheetData>
    <row r="1" spans="1:16" ht="6" customHeight="1" x14ac:dyDescent="0.35"/>
    <row r="2" spans="1:16" ht="18" customHeight="1" x14ac:dyDescent="0.5">
      <c r="A2" s="4" t="str">
        <f>[1]Blank42!A12</f>
        <v>Company:</v>
      </c>
      <c r="B2" s="89" t="str">
        <f>[1]Blank42!B12</f>
        <v>Best Business, Inc.</v>
      </c>
      <c r="C2" s="2"/>
      <c r="D2" s="2"/>
      <c r="F2" s="5" t="s">
        <v>19</v>
      </c>
      <c r="G2" s="2"/>
      <c r="H2" s="2"/>
      <c r="I2" s="2"/>
      <c r="J2" s="2"/>
    </row>
    <row r="3" spans="1:16" ht="15" customHeight="1" x14ac:dyDescent="0.35">
      <c r="A3" s="90" t="str">
        <f>[1]Blank42!A11</f>
        <v>Prepared for:</v>
      </c>
      <c r="B3" s="10" t="str">
        <f>[1]Blank42!B11</f>
        <v>Mr. Client</v>
      </c>
      <c r="C3" s="91"/>
      <c r="D3" s="91"/>
      <c r="E3" s="8" t="str">
        <f>[1]Blank42!I12</f>
        <v>Prepared by:</v>
      </c>
      <c r="F3" s="9" t="str">
        <f>[1]Blank42!J12</f>
        <v>Illinois Corporate Investments Inc.</v>
      </c>
      <c r="G3" s="2"/>
      <c r="J3" s="8" t="str">
        <f>[1]Blank42!F12</f>
        <v>Preparer:</v>
      </c>
      <c r="K3" s="10" t="str">
        <f>[1]Blank42!G12</f>
        <v>Mr. Professional</v>
      </c>
      <c r="L3" s="2"/>
    </row>
    <row r="4" spans="1:16" ht="6" customHeight="1" x14ac:dyDescent="0.35"/>
    <row r="5" spans="1:16" ht="12" customHeight="1" x14ac:dyDescent="0.4">
      <c r="B5" s="12"/>
      <c r="F5" s="92"/>
      <c r="L5" s="92"/>
      <c r="M5" s="93">
        <f ca="1">[1]Blank42!N11</f>
        <v>44412.60115613426</v>
      </c>
      <c r="N5" s="93"/>
      <c r="O5" s="4" t="s">
        <v>20</v>
      </c>
    </row>
    <row r="6" spans="1:16" ht="12" customHeight="1" x14ac:dyDescent="0.4">
      <c r="A6" s="94" t="str">
        <f>[1]Blank42!F14</f>
        <v>Income Statement (Pre-Acquisition)</v>
      </c>
      <c r="B6" s="15"/>
      <c r="C6" s="95"/>
      <c r="D6" s="17"/>
      <c r="E6" s="96" t="str">
        <f>[1]Blank42!L14</f>
        <v xml:space="preserve">Financing </v>
      </c>
      <c r="F6" s="97"/>
      <c r="G6" s="98" t="str">
        <f>[1]Blank42!$M$14</f>
        <v>Adv Rate</v>
      </c>
      <c r="H6" s="98" t="str">
        <f>[1]Blank42!N14</f>
        <v>Interest %</v>
      </c>
      <c r="I6" s="99" t="str">
        <f>[1]Blank42!O14</f>
        <v>Years</v>
      </c>
      <c r="J6" s="96" t="str">
        <f>[1]Blank42!L29</f>
        <v xml:space="preserve">Miscellaneous </v>
      </c>
      <c r="K6" s="15"/>
      <c r="L6" s="97"/>
      <c r="M6" s="16"/>
      <c r="N6" s="16"/>
      <c r="O6" s="16"/>
      <c r="P6" s="100"/>
    </row>
    <row r="7" spans="1:16" ht="12" customHeight="1" x14ac:dyDescent="0.35">
      <c r="A7" s="101"/>
      <c r="B7" s="20"/>
      <c r="C7" s="72" t="str">
        <f>[1]Blank42!H15</f>
        <v>Sales</v>
      </c>
      <c r="D7" s="102" t="str">
        <f>[1]Blank42!I15</f>
        <v>5000</v>
      </c>
      <c r="E7" s="20"/>
      <c r="F7" s="72" t="str">
        <f>[1]Blank42!L15</f>
        <v>Revolver: % of A/R</v>
      </c>
      <c r="G7" s="103" t="str">
        <f>[1]Blank42!M15</f>
        <v>80%</v>
      </c>
      <c r="H7" s="104" t="str">
        <f>[1]Blank42!N15</f>
        <v>10%</v>
      </c>
      <c r="I7" s="105" t="str">
        <f>[1]Blank42!O15</f>
        <v>Revolver</v>
      </c>
      <c r="J7" s="72"/>
      <c r="K7" s="72"/>
      <c r="L7" s="72" t="str">
        <f>[1]Blank42!L31</f>
        <v>Cash Reserve @ YE(% EBITDA)</v>
      </c>
      <c r="M7" s="103">
        <f>[1]Blank42!M31</f>
        <v>0</v>
      </c>
      <c r="N7" s="106" t="str">
        <f>[1]Blank42!N31*100&amp;" % Int. on Cash"</f>
        <v>3 % Int. on Cash</v>
      </c>
      <c r="O7" s="107"/>
      <c r="P7" s="100"/>
    </row>
    <row r="8" spans="1:16" ht="12" customHeight="1" x14ac:dyDescent="0.35">
      <c r="A8" s="101"/>
      <c r="B8" s="20"/>
      <c r="C8" s="72" t="str">
        <f>[1]Blank42!H16</f>
        <v>EBITDA (or SDE)</v>
      </c>
      <c r="D8" s="108" t="str">
        <f>[1]Blank42!I16</f>
        <v>750</v>
      </c>
      <c r="E8" s="20"/>
      <c r="F8" s="72" t="str">
        <f>[1]Blank42!L16</f>
        <v>Revolver: % of Inventory</v>
      </c>
      <c r="G8" s="103" t="str">
        <f>[1]Blank42!M16</f>
        <v>40%</v>
      </c>
      <c r="H8" s="104" t="str">
        <f>[1]Blank42!N16</f>
        <v>10%</v>
      </c>
      <c r="I8" s="105" t="str">
        <f>[1]Blank42!O16</f>
        <v>Revolver</v>
      </c>
      <c r="J8" s="109"/>
      <c r="K8" s="110"/>
      <c r="L8" s="72" t="str">
        <f>[1]Blank42!L32</f>
        <v>Dividend Distribution-Regular</v>
      </c>
      <c r="M8" s="103" t="str">
        <f>[1]Blank42!M32</f>
        <v>0%</v>
      </c>
      <c r="N8" s="110" t="str">
        <f>[1]Blank42!N32</f>
        <v>of excess cash flow</v>
      </c>
      <c r="O8" s="20"/>
      <c r="P8" s="100"/>
    </row>
    <row r="9" spans="1:16" ht="12" customHeight="1" x14ac:dyDescent="0.35">
      <c r="A9" s="101"/>
      <c r="B9" s="20"/>
      <c r="C9" s="72" t="str">
        <f>[1]Blank42!H17</f>
        <v>Less Additional Salaries/Expenses</v>
      </c>
      <c r="D9" s="111" t="str">
        <f>IF([1]Blank42!I17=0,FIXED([1]Blank42!I17,0,0),[1]Blank42!I17)</f>
        <v>0</v>
      </c>
      <c r="E9" s="20"/>
      <c r="F9" s="72" t="str">
        <f>[1]Blank42!L17</f>
        <v>Term Loan: % of FMVof FA</v>
      </c>
      <c r="G9" s="103" t="str">
        <f>IF([1]Blank42!C1077=1,[1]Blank42!M17,FIXED([1]Blank42!J1078,0,0))</f>
        <v>80%</v>
      </c>
      <c r="H9" s="104">
        <f>[1]Blank42!N17</f>
        <v>0.1</v>
      </c>
      <c r="I9" s="112">
        <f>[1]Blank42!O17</f>
        <v>5</v>
      </c>
      <c r="J9" s="113"/>
      <c r="K9" s="110"/>
      <c r="L9" s="72" t="str">
        <f>[1]Blank42!L33</f>
        <v>Acquisition Expenses</v>
      </c>
      <c r="M9" s="103" t="str">
        <f>IF([1]Blank42!C1080=1,[1]Blank42!M33,FIXED([1]Blank42!J1081,0,0))</f>
        <v>2%</v>
      </c>
      <c r="N9" s="114" t="str">
        <f>[1]Blank42!N33</f>
        <v>of Purchase Price</v>
      </c>
      <c r="O9" s="20"/>
      <c r="P9" s="100"/>
    </row>
    <row r="10" spans="1:16" ht="12" customHeight="1" x14ac:dyDescent="0.35">
      <c r="A10" s="101"/>
      <c r="B10" s="20"/>
      <c r="C10" s="72" t="str">
        <f>[1]Blank42!H18</f>
        <v>Less Rent if not deducted</v>
      </c>
      <c r="D10" s="111" t="str">
        <f>IF([1]Blank42!I18=0,FIXED([1]Blank42!I18,0,0),[1]Blank42!I18)</f>
        <v>0</v>
      </c>
      <c r="E10" s="115"/>
      <c r="F10" s="72" t="str">
        <f>[1]Blank42!L18</f>
        <v>Cap Ex Loan: % of Cap Ex</v>
      </c>
      <c r="G10" s="103" t="str">
        <f>[1]Blank42!M18</f>
        <v>75%</v>
      </c>
      <c r="H10" s="104" t="str">
        <f>[1]Blank42!N18</f>
        <v>10%</v>
      </c>
      <c r="I10" s="112" t="str">
        <f>[1]Blank42!O18</f>
        <v>5</v>
      </c>
      <c r="J10" s="113"/>
      <c r="K10" s="110"/>
      <c r="L10" s="72" t="str">
        <f>[1]Blank42!L34</f>
        <v>Closing Cost at Exit</v>
      </c>
      <c r="M10" s="103" t="str">
        <f>[1]Blank42!M34</f>
        <v>5%</v>
      </c>
      <c r="N10" s="114" t="str">
        <f>[1]Blank42!N34</f>
        <v>of Selling Price</v>
      </c>
      <c r="O10" s="20"/>
      <c r="P10" s="100"/>
    </row>
    <row r="11" spans="1:16" ht="12" customHeight="1" thickBot="1" x14ac:dyDescent="0.4">
      <c r="A11" s="101"/>
      <c r="B11" s="20"/>
      <c r="C11" s="72" t="str">
        <f>[1]Blank42!H19</f>
        <v>Adj. EBITDA</v>
      </c>
      <c r="D11" s="116">
        <f>[1]Blank42!I19</f>
        <v>750</v>
      </c>
      <c r="E11" s="20"/>
      <c r="F11" s="72" t="str">
        <f>[1]Blank42!L19</f>
        <v>Open Revolver Credit Facility</v>
      </c>
      <c r="G11" s="117" t="str">
        <f>[1]Blank42!M19</f>
        <v>Yes</v>
      </c>
      <c r="H11" s="118"/>
      <c r="I11" s="119"/>
      <c r="J11" s="120"/>
      <c r="K11" s="110"/>
      <c r="L11" s="72" t="s">
        <v>21</v>
      </c>
      <c r="M11" s="121" t="str">
        <f>IF([1]Blank42!C1058=1,[1]Blank42!M35,"see settings")</f>
        <v>5</v>
      </c>
      <c r="N11" s="110" t="str">
        <f>IF([1]Blank42!C1058=1,"years","")</f>
        <v>years</v>
      </c>
      <c r="O11" s="20"/>
      <c r="P11" s="100"/>
    </row>
    <row r="12" spans="1:16" ht="12" customHeight="1" thickBot="1" x14ac:dyDescent="0.4">
      <c r="A12" s="101"/>
      <c r="B12" s="20"/>
      <c r="C12" s="72" t="str">
        <f>[1]Blank42!H20</f>
        <v>EBITDA Margin</v>
      </c>
      <c r="D12" s="122">
        <f>[1]Blank42!I20</f>
        <v>0.15</v>
      </c>
      <c r="E12" s="20"/>
      <c r="F12" s="123" t="str">
        <f>[1]Blank42!L20</f>
        <v>Buyer Equity (% of Price)</v>
      </c>
      <c r="G12" s="124">
        <f>[1]Blank42!M20</f>
        <v>0.24103582622417094</v>
      </c>
      <c r="H12" s="125" t="str">
        <f>IF([1]Blank42!C618=2,"Eqty Constraint: E =&gt; "&amp;[1]Blank42!G619*100&amp;"%",IF([1]Blank42!C618=3,"Eqty Constraint: E = "&amp;[1]Blank42!G620*100&amp;"%",IF([1]Blank42!C618=4,"Eqty Constraint: E = "&amp;TEXT([1]Blank42!G621,"0,0"),"")))</f>
        <v/>
      </c>
      <c r="I12" s="126"/>
      <c r="J12" s="127"/>
      <c r="K12" s="79"/>
      <c r="L12" s="81" t="s">
        <v>22</v>
      </c>
      <c r="M12" s="128" t="str">
        <f>IF([1]Blank42!C1064=1,[1]Blank42!O35,"see settings")</f>
        <v>5</v>
      </c>
      <c r="N12" s="129" t="str">
        <f>IF([1]Blank42!C1064=1,"years","")</f>
        <v>years</v>
      </c>
      <c r="O12" s="82"/>
      <c r="P12" s="100"/>
    </row>
    <row r="13" spans="1:16" ht="12" customHeight="1" x14ac:dyDescent="0.35">
      <c r="A13" s="49"/>
      <c r="B13" s="20"/>
      <c r="C13" s="20"/>
      <c r="D13" s="21"/>
      <c r="E13" s="20"/>
      <c r="F13" s="72" t="str">
        <f>[1]Blank42!L21</f>
        <v>Expected Pre-Tax ROE (%)</v>
      </c>
      <c r="G13" s="104">
        <f>[1]Blank42!M21</f>
        <v>0.35</v>
      </c>
      <c r="H13" s="110"/>
      <c r="I13" s="130"/>
      <c r="J13" s="131"/>
      <c r="K13" s="72"/>
      <c r="L13" s="72" t="str">
        <f>[1]Blank42!$L$30</f>
        <v>Exit Multiple (EM)</v>
      </c>
      <c r="M13" s="132">
        <f>[1]Blank42!$M$30</f>
        <v>4.889125406231515</v>
      </c>
      <c r="N13" s="72" t="str">
        <f>[1]Blank42!N30</f>
        <v>Max EM</v>
      </c>
      <c r="O13" s="133">
        <f>[1]Blank42!O30</f>
        <v>100</v>
      </c>
      <c r="P13" s="100"/>
    </row>
    <row r="14" spans="1:16" ht="12" customHeight="1" x14ac:dyDescent="0.35">
      <c r="A14" s="49"/>
      <c r="B14" s="20"/>
      <c r="C14" s="20"/>
      <c r="D14" s="20"/>
      <c r="E14" s="49"/>
      <c r="F14" s="20"/>
      <c r="G14" s="20"/>
      <c r="H14" s="56" t="s">
        <v>23</v>
      </c>
      <c r="I14" s="134" t="str">
        <f>IF([1]Blank42!C663=0,FIXED(0,0,0),[1]Blank42!C663)</f>
        <v>0</v>
      </c>
      <c r="J14" s="135" t="s">
        <v>24</v>
      </c>
      <c r="K14" s="20"/>
      <c r="L14" s="20"/>
      <c r="M14" s="136">
        <f>[1]Blank42!$Q$35</f>
        <v>1</v>
      </c>
      <c r="N14" s="137" t="str">
        <f>[1]Blank42!$N$717</f>
        <v>No</v>
      </c>
      <c r="O14" s="20"/>
      <c r="P14" s="100"/>
    </row>
    <row r="15" spans="1:16" ht="12" customHeight="1" thickBot="1" x14ac:dyDescent="0.45">
      <c r="A15" s="138" t="str">
        <f>[1]Blank42!F22</f>
        <v>Operating Balance Sheet</v>
      </c>
      <c r="B15" s="139"/>
      <c r="C15" s="140"/>
      <c r="D15" s="141"/>
      <c r="E15" s="142" t="str">
        <f>[1]Blank42!L22</f>
        <v>Deal Structure</v>
      </c>
      <c r="F15" s="97"/>
      <c r="G15" s="143" t="s">
        <v>25</v>
      </c>
      <c r="H15" s="143" t="s">
        <v>26</v>
      </c>
      <c r="I15" s="144" t="s">
        <v>27</v>
      </c>
      <c r="J15" s="145" t="s">
        <v>28</v>
      </c>
      <c r="K15" s="146">
        <f>IF(OR(ExitM="Auto",ExitM="Manual"),[1]Blank42!O32,"n/a")</f>
        <v>0</v>
      </c>
      <c r="L15" s="41" t="s">
        <v>8</v>
      </c>
      <c r="M15" s="146">
        <f>IF(OR(ExitM="Auto",ExitM="Manual"),[1]Blank42!O33,"n/a")</f>
        <v>0.15</v>
      </c>
      <c r="N15" s="41" t="s">
        <v>29</v>
      </c>
      <c r="O15" s="146">
        <f>IF(OR(ExitM="Auto",ExitM="Manual"),[1]Blank42!O34,"n/a")</f>
        <v>0.35</v>
      </c>
      <c r="P15" s="100"/>
    </row>
    <row r="16" spans="1:16" ht="12" customHeight="1" thickBot="1" x14ac:dyDescent="0.45">
      <c r="A16" s="113"/>
      <c r="B16" s="110"/>
      <c r="C16" s="72" t="str">
        <f>[1]Blank42!H23</f>
        <v>Operating Cash</v>
      </c>
      <c r="D16" s="147" t="str">
        <f>IF([1]Blank42!I23=0,FIXED([1]Blank42!I23,0,0),[1]Blank42!I23)</f>
        <v>0</v>
      </c>
      <c r="E16" s="20"/>
      <c r="F16" s="148" t="str">
        <f>[1]Blank42!L25</f>
        <v>Gap(Seller) Note</v>
      </c>
      <c r="G16" s="149" t="str">
        <f>IF([1]Blank42!M25=0,FIXED([1]Blank42!M25,0,0),[1]Blank42!M25)</f>
        <v>Yes</v>
      </c>
      <c r="H16" s="104">
        <f>[1]Blank42!N25</f>
        <v>0.1</v>
      </c>
      <c r="I16" s="150">
        <f>[1]Blank42!O25</f>
        <v>5</v>
      </c>
      <c r="J16" s="151" t="s">
        <v>30</v>
      </c>
      <c r="K16" s="139"/>
      <c r="L16" s="97"/>
      <c r="M16" s="143" t="s">
        <v>25</v>
      </c>
      <c r="N16" s="143" t="s">
        <v>26</v>
      </c>
      <c r="O16" s="143" t="s">
        <v>27</v>
      </c>
      <c r="P16" s="100"/>
    </row>
    <row r="17" spans="1:16" ht="12" customHeight="1" x14ac:dyDescent="0.35">
      <c r="A17" s="113"/>
      <c r="B17" s="110"/>
      <c r="C17" s="72" t="str">
        <f>[1]Blank42!F26</f>
        <v>Accounts Receivable (A/R )</v>
      </c>
      <c r="D17" s="152">
        <f>IF([1]Blank42!I26=0,FIXED([1]Blank42!I26,0,0),[1]Blank42!I26)</f>
        <v>600</v>
      </c>
      <c r="E17" s="20"/>
      <c r="F17" s="72" t="str">
        <f>[1]Blank42!L26</f>
        <v>Non-Compete</v>
      </c>
      <c r="G17" s="153" t="str">
        <f>IF([1]Blank42!M26=0,FIXED(0,0,0),[1]Blank42!M26)</f>
        <v>0</v>
      </c>
      <c r="H17" s="104">
        <f>[1]Blank42!N26</f>
        <v>0.1</v>
      </c>
      <c r="I17" s="112">
        <f>[1]Blank42!O26</f>
        <v>5</v>
      </c>
      <c r="J17" s="154" t="b">
        <f>[1]Blank42!$N$453</f>
        <v>0</v>
      </c>
      <c r="K17" s="155"/>
      <c r="L17" s="156" t="s">
        <v>31</v>
      </c>
      <c r="M17" s="156" t="s">
        <v>32</v>
      </c>
      <c r="N17" s="156" t="s">
        <v>33</v>
      </c>
      <c r="O17" s="156"/>
      <c r="P17" s="100"/>
    </row>
    <row r="18" spans="1:16" ht="12" customHeight="1" x14ac:dyDescent="0.35">
      <c r="A18" s="113"/>
      <c r="B18" s="110"/>
      <c r="C18" s="72" t="str">
        <f>[1]Blank42!H27</f>
        <v>Inventory</v>
      </c>
      <c r="D18" s="147">
        <f>IF([1]Blank42!I27=0,FIXED([1]Blank42!I27,0,0),[1]Blank42!I27)</f>
        <v>900</v>
      </c>
      <c r="E18" s="20"/>
      <c r="F18" s="56" t="str">
        <f>[1]Blank42!L27</f>
        <v>Personal Goodwill</v>
      </c>
      <c r="G18" s="153" t="str">
        <f>IF([1]Blank42!M27=0,FIXED(0,0,0),[1]Blank42!M27)</f>
        <v>0</v>
      </c>
      <c r="H18" s="157">
        <f>[1]Blank42!N27</f>
        <v>0.1</v>
      </c>
      <c r="I18" s="158">
        <f>[1]Blank42!O27</f>
        <v>5</v>
      </c>
      <c r="J18" s="159"/>
      <c r="K18" s="160" t="str">
        <f>[1]Blank42!F567</f>
        <v>Land</v>
      </c>
      <c r="L18" s="161" t="str">
        <f>IF(AFRE,IF([1]Blank42!G567=0,FIXED(0,0,0),[1]Blank42!G567),"n/a")</f>
        <v>n/a</v>
      </c>
      <c r="M18" s="161" t="str">
        <f>IF(AFRE,IF([1]Blank42!H567=0,FIXED(0,0,0),[1]Blank42!H567),"n/a")</f>
        <v>n/a</v>
      </c>
      <c r="N18" s="162" t="str">
        <f>IF(AFRE,[1]Blank42!$G$572,"n/a")</f>
        <v>n/a</v>
      </c>
      <c r="O18" s="160"/>
      <c r="P18" s="100"/>
    </row>
    <row r="19" spans="1:16" ht="12" customHeight="1" x14ac:dyDescent="0.35">
      <c r="A19" s="49"/>
      <c r="B19" s="72"/>
      <c r="C19" s="72" t="str">
        <f>[1]Blank42!H24</f>
        <v>Fixed Assets @ Book Vaue(BV)</v>
      </c>
      <c r="D19" s="147" t="str">
        <f>IF([1]Blank42!I24=0,FIXED([1]Blank42!I24,0,0),[1]Blank42!I24)</f>
        <v>500</v>
      </c>
      <c r="E19" s="20"/>
      <c r="F19" s="72" t="str">
        <f>[1]Blank42!L28</f>
        <v>Total Consulting</v>
      </c>
      <c r="G19" s="153" t="str">
        <f>IF([1]Blank42!M28=0,FIXED(0,0,0),[1]Blank42!M28)</f>
        <v>0</v>
      </c>
      <c r="H19" s="163">
        <f>[1]Blank42!N28</f>
        <v>0.08</v>
      </c>
      <c r="I19" s="164">
        <f>[1]Blank42!O28</f>
        <v>5</v>
      </c>
      <c r="J19" s="159"/>
      <c r="K19" s="160" t="str">
        <f>[1]Blank42!F568</f>
        <v>Building</v>
      </c>
      <c r="L19" s="165" t="str">
        <f>IF(AFRE,IF([1]Blank42!G568=0,FIXED(0,0,0),[1]Blank42!G568),"n/a")</f>
        <v>n/a</v>
      </c>
      <c r="M19" s="165" t="str">
        <f>IF(AFRE,IF([1]Blank42!H568=0,FIXED(0,0,0),[1]Blank42!H568),"n/a")</f>
        <v>n/a</v>
      </c>
      <c r="N19" s="160"/>
      <c r="O19" s="160"/>
      <c r="P19" s="100"/>
    </row>
    <row r="20" spans="1:16" ht="12" customHeight="1" thickBot="1" x14ac:dyDescent="0.4">
      <c r="A20" s="49"/>
      <c r="B20" s="72"/>
      <c r="C20" s="72" t="s">
        <v>34</v>
      </c>
      <c r="D20" s="147" t="str">
        <f>IF([1]Blank42!I25=0,FIXED([1]Blank42!I25,0,0),[1]Blank42!I25)</f>
        <v>1000</v>
      </c>
      <c r="E20" s="20"/>
      <c r="F20" s="72" t="str">
        <f>[1]Blank42!L23</f>
        <v>Stock vs. Asset Purchase</v>
      </c>
      <c r="G20" s="164" t="str">
        <f>[1]Blank42!M23</f>
        <v>A</v>
      </c>
      <c r="H20" s="20"/>
      <c r="I20" s="20"/>
      <c r="J20" s="159"/>
      <c r="K20" s="160" t="str">
        <f>[1]Blank42!F569</f>
        <v>Total Property Value</v>
      </c>
      <c r="L20" s="161" t="str">
        <f>IF(AFRE,IF([1]Blank42!G569=0,FIXED(0,0,0),[1]Blank42!G569),"n/a")</f>
        <v>n/a</v>
      </c>
      <c r="M20" s="161" t="str">
        <f>IF(AFRE,IF([1]Blank42!H569=0,FIXED(0,0,0),[1]Blank42!H569),"n/a")</f>
        <v>n/a</v>
      </c>
      <c r="N20" s="166" t="s">
        <v>35</v>
      </c>
      <c r="O20" s="167" t="str">
        <f>IF(AFRE,[1]Blank42!$G$571,"n/a")</f>
        <v>n/a</v>
      </c>
      <c r="P20" s="100"/>
    </row>
    <row r="21" spans="1:16" ht="12" customHeight="1" thickBot="1" x14ac:dyDescent="0.4">
      <c r="A21" s="113"/>
      <c r="B21" s="110"/>
      <c r="C21" s="72" t="str">
        <f>[1]Blank42!H28</f>
        <v>Other Misc. Assets</v>
      </c>
      <c r="D21" s="147" t="str">
        <f>IF([1]Blank42!I28=0,FIXED([1]Blank42!I28,0,0),[1]Blank42!I28)</f>
        <v>0</v>
      </c>
      <c r="E21" s="20"/>
      <c r="F21" s="72" t="str">
        <f>[1]Blank42!L24</f>
        <v>Purch Price Multiple</v>
      </c>
      <c r="G21" s="168">
        <f>[1]Blank42!M24</f>
        <v>4.8968535306482313</v>
      </c>
      <c r="H21" s="20"/>
      <c r="I21" s="20"/>
      <c r="J21" s="159"/>
      <c r="K21" s="160"/>
      <c r="L21" s="160" t="s">
        <v>36</v>
      </c>
      <c r="M21" s="162" t="str">
        <f>IF(AFRE,[1]Blank42!M38,"n/a")</f>
        <v>n/a</v>
      </c>
      <c r="N21" s="162" t="str">
        <f>IF(AFRE,[1]Blank42!N38,"n/a")</f>
        <v>n/a</v>
      </c>
      <c r="O21" s="167" t="str">
        <f>IF(AFRE,[1]Blank42!O38,"n/a")</f>
        <v>n/a</v>
      </c>
      <c r="P21" s="100"/>
    </row>
    <row r="22" spans="1:16" ht="12" customHeight="1" x14ac:dyDescent="0.4">
      <c r="A22" s="113"/>
      <c r="B22" s="110"/>
      <c r="C22" s="72" t="str">
        <f>[1]Blank42!H29</f>
        <v>Accounts Payable (A/P)</v>
      </c>
      <c r="D22" s="169">
        <f>IF([1]Blank42!I29=0,FIXED([1]Blank42!I29,0,0),[1]Blank42!I29)</f>
        <v>300</v>
      </c>
      <c r="E22" s="138" t="str">
        <f>[1]Blank42!$H$36</f>
        <v>Taxation</v>
      </c>
      <c r="F22" s="170"/>
      <c r="G22" s="97"/>
      <c r="H22" s="97"/>
      <c r="I22" s="97"/>
      <c r="J22" s="138" t="str">
        <f>[1]Blank42!L36</f>
        <v>Advanced Features</v>
      </c>
      <c r="K22" s="97"/>
      <c r="L22" s="97"/>
      <c r="M22" s="143" t="s">
        <v>25</v>
      </c>
      <c r="N22" s="143" t="s">
        <v>26</v>
      </c>
      <c r="O22" s="143" t="s">
        <v>27</v>
      </c>
      <c r="P22" s="100"/>
    </row>
    <row r="23" spans="1:16" ht="12" customHeight="1" thickBot="1" x14ac:dyDescent="0.4">
      <c r="A23" s="171"/>
      <c r="B23" s="110"/>
      <c r="C23" s="72" t="str">
        <f>[1]Blank42!H30</f>
        <v>Other Misc. Liabilities</v>
      </c>
      <c r="D23" s="172" t="str">
        <f>IF([1]Blank42!I30=0,FIXED([1]Blank42!I30,0,0),[1]Blank42!I30)</f>
        <v>0</v>
      </c>
      <c r="E23" s="49"/>
      <c r="F23" s="72" t="str">
        <f>[1]Blank42!H37</f>
        <v>Corp. Type: C or S</v>
      </c>
      <c r="G23" s="164" t="str">
        <f>[1]Blank42!I37</f>
        <v>S</v>
      </c>
      <c r="H23" s="173"/>
      <c r="I23" s="20"/>
      <c r="J23" s="174" t="b">
        <f>[1]Blank42!$N$443</f>
        <v>0</v>
      </c>
      <c r="K23" s="175"/>
      <c r="L23" s="175" t="str">
        <f>[1]Blank42!L39</f>
        <v>Over Advance Loan</v>
      </c>
      <c r="M23" s="176" t="str">
        <f>IF(AFOALoan,[1]Blank42!M39,"n/a")</f>
        <v>n/a</v>
      </c>
      <c r="N23" s="177" t="str">
        <f>IF(AFOALoan,[1]Blank42!N39,"n/a")</f>
        <v>n/a</v>
      </c>
      <c r="O23" s="178" t="str">
        <f>IF(AFOALoan,[1]Blank42!O39,"n/a")</f>
        <v>n/a</v>
      </c>
      <c r="P23" s="100"/>
    </row>
    <row r="24" spans="1:16" ht="12" customHeight="1" x14ac:dyDescent="0.35">
      <c r="A24" s="179"/>
      <c r="B24" s="34"/>
      <c r="C24" s="81"/>
      <c r="D24" s="180" t="str">
        <f>"Net Assets @ BV "&amp;TEXT([1]Blank42!G31,"0,0")&amp;",  @ FMV "&amp;TEXT([1]Blank42!I31,"0,0")</f>
        <v>Net Assets @ BV 200,  @ FMV 700</v>
      </c>
      <c r="E24" s="49"/>
      <c r="F24" s="72" t="str">
        <f>[1]Blank42!H38</f>
        <v>S Shrhldr Tax Rate: Fed+State</v>
      </c>
      <c r="G24" s="181" t="str">
        <f>[1]Blank42!I38</f>
        <v>40%</v>
      </c>
      <c r="H24" s="73"/>
      <c r="I24" s="20"/>
      <c r="J24" s="182" t="b">
        <f>[1]Blank42!$N$446</f>
        <v>0</v>
      </c>
      <c r="K24" s="183"/>
      <c r="L24" s="184"/>
      <c r="M24" s="185"/>
      <c r="N24" s="186" t="str">
        <f>[1]Blank42!N40</f>
        <v>Gap(Seller) Note Principal Payments Deferral</v>
      </c>
      <c r="O24" s="187" t="str">
        <f>IF(AFGapDeferral,[1]Blank42!O40,"n/a")</f>
        <v>n/a</v>
      </c>
      <c r="P24" s="100"/>
    </row>
    <row r="25" spans="1:16" ht="12" customHeight="1" thickBot="1" x14ac:dyDescent="0.45">
      <c r="A25" s="138" t="str">
        <f>[1]Blank42!H32</f>
        <v>Future Growth &amp; Expenses</v>
      </c>
      <c r="B25" s="139"/>
      <c r="C25" s="97"/>
      <c r="D25" s="141"/>
      <c r="E25" s="49"/>
      <c r="F25" s="72" t="str">
        <f>[1]Blank42!H39</f>
        <v>S Corp Tax Rate: State</v>
      </c>
      <c r="G25" s="181" t="str">
        <f>[1]Blank42!I39</f>
        <v>3%</v>
      </c>
      <c r="H25" s="188"/>
      <c r="I25" s="20"/>
      <c r="J25" s="174" t="b">
        <f>[1]Blank42!$N$448</f>
        <v>0</v>
      </c>
      <c r="K25" s="175"/>
      <c r="L25" s="175" t="str">
        <f>[1]Blank42!L41</f>
        <v>Gap(Seller) Balloon Note</v>
      </c>
      <c r="M25" s="176" t="str">
        <f>IF(AFGapBalloon,[1]Blank42!M41,"n/a")</f>
        <v>n/a</v>
      </c>
      <c r="N25" s="177" t="str">
        <f>IF(AFGapBalloon,[1]Blank42!N41,"n/a")</f>
        <v>n/a</v>
      </c>
      <c r="O25" s="178" t="str">
        <f>IF(AFGapBalloon,[1]Blank42!O41,"n/a")</f>
        <v>n/a</v>
      </c>
      <c r="P25" s="100"/>
    </row>
    <row r="26" spans="1:16" ht="12" customHeight="1" x14ac:dyDescent="0.35">
      <c r="A26" s="49"/>
      <c r="B26" s="189"/>
      <c r="C26" s="190" t="str">
        <f>[1]Blank42!H33</f>
        <v>Sales Growth per yr</v>
      </c>
      <c r="D26" s="191">
        <f>[1]Blank42!I33</f>
        <v>0.05</v>
      </c>
      <c r="E26" s="20"/>
      <c r="F26" s="20"/>
      <c r="G26" s="20"/>
      <c r="H26" s="20"/>
      <c r="I26" s="20"/>
      <c r="J26" s="192" t="b">
        <f>[1]Blank42!$N$451</f>
        <v>0</v>
      </c>
      <c r="K26" s="160"/>
      <c r="L26" s="160" t="str">
        <f>[1]Blank42!L42</f>
        <v>Mezzanine Financing</v>
      </c>
      <c r="M26" s="161" t="str">
        <f>IF(AFMezz,IF([1]Blank42!M42=0,FIXED(0,0,0),[1]Blank42!M42),"n/a")</f>
        <v>n/a</v>
      </c>
      <c r="N26" s="193" t="str">
        <f>IF(AFMezz,[1]Blank42!N42,"n/a")</f>
        <v>n/a</v>
      </c>
      <c r="O26" s="187" t="str">
        <f>IF(AFMezz,[1]Blank42!O42,"n/a")</f>
        <v>n/a</v>
      </c>
      <c r="P26" s="100"/>
    </row>
    <row r="27" spans="1:16" ht="12" customHeight="1" thickBot="1" x14ac:dyDescent="0.4">
      <c r="A27" s="49"/>
      <c r="B27" s="72"/>
      <c r="C27" s="131" t="str">
        <f>[1]Blank42!H34</f>
        <v>Cap. Exp. (% of EBITDA) per yr</v>
      </c>
      <c r="D27" s="194">
        <f>[1]Blank42!I34</f>
        <v>0.1</v>
      </c>
      <c r="E27" s="49"/>
      <c r="F27" s="20"/>
      <c r="G27" s="20"/>
      <c r="H27" s="20"/>
      <c r="I27" s="20"/>
      <c r="J27" s="159"/>
      <c r="K27" s="160"/>
      <c r="L27" s="160"/>
      <c r="M27" s="160"/>
      <c r="N27" s="160" t="s">
        <v>37</v>
      </c>
      <c r="O27" s="187" t="str">
        <f>IF(AFMezz,[1]Blank42!$N$43,"n/a")</f>
        <v>n/a</v>
      </c>
      <c r="P27" s="100"/>
    </row>
    <row r="28" spans="1:16" ht="12" customHeight="1" thickBot="1" x14ac:dyDescent="0.4">
      <c r="A28" s="49"/>
      <c r="B28" s="189"/>
      <c r="C28" s="195" t="str">
        <f>[1]Blank42!H35</f>
        <v>EBITDA % Margin per yr</v>
      </c>
      <c r="D28" s="196" t="str">
        <f>[1]Blank42!I35</f>
        <v>Same</v>
      </c>
      <c r="E28" s="49"/>
      <c r="F28" s="20"/>
      <c r="G28" s="20"/>
      <c r="H28" s="20"/>
      <c r="I28" s="20"/>
      <c r="J28" s="197"/>
      <c r="K28" s="175"/>
      <c r="L28" s="175" t="str">
        <f>[1]Blank42!L43</f>
        <v>Mezzanine Expected ROI</v>
      </c>
      <c r="M28" s="177" t="str">
        <f>IF(AFMezz,[1]Blank42!$M$43,"n/a")</f>
        <v>n/a</v>
      </c>
      <c r="N28" s="198" t="str">
        <f>[1]Blank42!O44</f>
        <v>Mezz Equity</v>
      </c>
      <c r="O28" s="199" t="str">
        <f>IF(AFMezz,[1]Blank42!O43,"n/a")</f>
        <v>n/a</v>
      </c>
      <c r="P28" s="100"/>
    </row>
    <row r="29" spans="1:16" ht="12" customHeight="1" x14ac:dyDescent="0.4">
      <c r="A29" s="200" t="s">
        <v>38</v>
      </c>
      <c r="B29" s="97"/>
      <c r="C29" s="97"/>
      <c r="D29" s="97"/>
      <c r="E29" s="97"/>
      <c r="F29" s="139"/>
      <c r="G29" s="97"/>
      <c r="H29" s="95" t="str">
        <f>[1]Blank42!L36</f>
        <v>Advanced Features</v>
      </c>
      <c r="I29" s="95" t="str">
        <f>[1]Blank42!E436</f>
        <v>Year0</v>
      </c>
      <c r="J29" s="140" t="str">
        <f>[1]Blank42!F436</f>
        <v>Year1</v>
      </c>
      <c r="K29" s="140" t="str">
        <f>[1]Blank42!G436</f>
        <v>Year2</v>
      </c>
      <c r="L29" s="140" t="str">
        <f>[1]Blank42!H436</f>
        <v>Year3</v>
      </c>
      <c r="M29" s="140" t="str">
        <f>[1]Blank42!I436</f>
        <v>Year4</v>
      </c>
      <c r="N29" s="140" t="str">
        <f>[1]Blank42!J436</f>
        <v>Year5</v>
      </c>
      <c r="O29" s="201"/>
      <c r="P29" s="100"/>
    </row>
    <row r="30" spans="1:16" ht="12" customHeight="1" x14ac:dyDescent="0.35">
      <c r="A30" s="120" t="str">
        <f>IF(ISSIncome=1,"Yes","No")</f>
        <v>Yes</v>
      </c>
      <c r="B30" s="110" t="s">
        <v>39</v>
      </c>
      <c r="C30" s="20"/>
      <c r="D30" s="20"/>
      <c r="E30" s="20"/>
      <c r="F30" s="20"/>
      <c r="G30" s="20"/>
      <c r="H30" s="72" t="str">
        <f>[1]Blank42!D445</f>
        <v>Sales/yr</v>
      </c>
      <c r="I30" s="42" t="str">
        <f>[1]Blank42!E445</f>
        <v>5000</v>
      </c>
      <c r="J30" s="202" t="str">
        <f>IF(AND(AFSales="YES",AFSalesSelection=1),[1]Blank42!F445,"n/a")</f>
        <v>n/a</v>
      </c>
      <c r="K30" s="202" t="str">
        <f>IF(AND(AFSales="YES",AFSalesSelection=1),[1]Blank42!G445,"n/a")</f>
        <v>n/a</v>
      </c>
      <c r="L30" s="202" t="str">
        <f>IF(AND(AFSales="YES",AFSalesSelection=1),[1]Blank42!H445,"n/a")</f>
        <v>n/a</v>
      </c>
      <c r="M30" s="202" t="str">
        <f>IF(AND(AFSales="YES",AFSalesSelection=1),[1]Blank42!I445,"n/a")</f>
        <v>n/a</v>
      </c>
      <c r="N30" s="202" t="str">
        <f>IF(AND(AFSales="YES",AFSalesSelection=1),[1]Blank42!J445,"n/a")</f>
        <v>n/a</v>
      </c>
      <c r="O30" s="203" t="str">
        <f>[1]Blank42!$A$445</f>
        <v>No</v>
      </c>
      <c r="P30" s="100"/>
    </row>
    <row r="31" spans="1:16" ht="12" customHeight="1" thickBot="1" x14ac:dyDescent="0.4">
      <c r="A31" s="120" t="str">
        <f>IF(ISLiqTaxes=1,"Yes","No")</f>
        <v>Yes</v>
      </c>
      <c r="B31" s="110" t="s">
        <v>40</v>
      </c>
      <c r="C31" s="20"/>
      <c r="D31" s="20"/>
      <c r="E31" s="20"/>
      <c r="F31" s="20"/>
      <c r="G31" s="20"/>
      <c r="H31" s="72" t="str">
        <f>[1]Blank42!D446</f>
        <v>Sales Growth %/yr</v>
      </c>
      <c r="I31" s="204" t="s">
        <v>41</v>
      </c>
      <c r="J31" s="205" t="str">
        <f>IF(AND(AFSales="yes",AFSalesSelection=2),[1]Blank42!F446,"n/a")</f>
        <v>n/a</v>
      </c>
      <c r="K31" s="205" t="str">
        <f>IF(AND(AFSales="yes",AFSalesSelection=2),[1]Blank42!G446,"n/a")</f>
        <v>n/a</v>
      </c>
      <c r="L31" s="205" t="str">
        <f>IF(AND(AFSales="yes",AFSalesSelection=2),[1]Blank42!H446,"n/a")</f>
        <v>n/a</v>
      </c>
      <c r="M31" s="205" t="str">
        <f>IF(AND(AFSales="yes",AFSalesSelection=2),[1]Blank42!I446,"n/a")</f>
        <v>n/a</v>
      </c>
      <c r="N31" s="205" t="str">
        <f>IF(AND(AFSales="yes",AFSalesSelection=2),[1]Blank42!J446,"n/a")</f>
        <v>n/a</v>
      </c>
      <c r="O31" s="206" t="str">
        <f>[1]Blank42!$A$446</f>
        <v>2</v>
      </c>
      <c r="P31" s="100"/>
    </row>
    <row r="32" spans="1:16" ht="12" customHeight="1" x14ac:dyDescent="0.35">
      <c r="A32" s="120" t="str">
        <f>IF(ISGapAmort=1,"Yes","No")</f>
        <v>Yes</v>
      </c>
      <c r="B32" s="110" t="s">
        <v>42</v>
      </c>
      <c r="C32" s="20"/>
      <c r="D32" s="20"/>
      <c r="E32" s="20"/>
      <c r="F32" s="20"/>
      <c r="G32" s="20"/>
      <c r="H32" s="72" t="str">
        <f>[1]Blank42!D450</f>
        <v>EBITDA /yr</v>
      </c>
      <c r="I32" s="207">
        <f>[1]Blank42!E450</f>
        <v>750</v>
      </c>
      <c r="J32" s="202" t="str">
        <f>IF(AND(AFEBITDA="yes",AFEBITDASelection=1),[1]Blank42!F450,"n/a")</f>
        <v>n/a</v>
      </c>
      <c r="K32" s="202" t="str">
        <f>IF(AND(AFEBITDA="yes",AFEBITDASelection=1),[1]Blank42!G450,"n/a")</f>
        <v>n/a</v>
      </c>
      <c r="L32" s="202" t="str">
        <f>IF(AND(AFEBITDA="yes",AFEBITDASelection=1),[1]Blank42!H450,"n/a")</f>
        <v>n/a</v>
      </c>
      <c r="M32" s="202" t="str">
        <f>IF(AND(AFEBITDA="yes",AFEBITDASelection=1),[1]Blank42!I450,"n/a")</f>
        <v>n/a</v>
      </c>
      <c r="N32" s="202" t="str">
        <f>IF(AND(AFEBITDA="yes",AFEBITDASelection=1),[1]Blank42!J450,"n/a")</f>
        <v>n/a</v>
      </c>
      <c r="O32" s="203" t="str">
        <f>[1]Blank42!$A$450</f>
        <v>No</v>
      </c>
      <c r="P32" s="100"/>
    </row>
    <row r="33" spans="1:16" ht="12" customHeight="1" thickBot="1" x14ac:dyDescent="0.45">
      <c r="A33" s="120" t="str">
        <f>IF(ISTermAmort=1,"Yes","No")</f>
        <v>Yes</v>
      </c>
      <c r="B33" s="110" t="s">
        <v>43</v>
      </c>
      <c r="C33" s="56"/>
      <c r="D33" s="208"/>
      <c r="E33" s="20"/>
      <c r="F33" s="20"/>
      <c r="G33" s="20"/>
      <c r="H33" s="72" t="str">
        <f>[1]Blank42!D451</f>
        <v>EBITDA Margin %</v>
      </c>
      <c r="I33" s="209">
        <f>[1]Blank42!E451</f>
        <v>0.15</v>
      </c>
      <c r="J33" s="210" t="str">
        <f>IF(AND(AFEBITDA="yes",AFEBITDASelection=2),[1]Blank42!F451,"n/a")</f>
        <v>n/a</v>
      </c>
      <c r="K33" s="210" t="str">
        <f>IF(AND(AFEBITDA="yes",AFEBITDASelection=2),[1]Blank42!G451,"n/a")</f>
        <v>n/a</v>
      </c>
      <c r="L33" s="210" t="str">
        <f>IF(AND(AFEBITDA="yes",AFEBITDASelection=2),[1]Blank42!H451,"n/a")</f>
        <v>n/a</v>
      </c>
      <c r="M33" s="210" t="str">
        <f>IF(AND(AFEBITDA="yes",AFEBITDASelection=2),[1]Blank42!I451,"n/a")</f>
        <v>n/a</v>
      </c>
      <c r="N33" s="210" t="str">
        <f>IF(AND(AFEBITDA="yes",AFEBITDASelection=2),[1]Blank42!J451,"n/a")</f>
        <v>n/a</v>
      </c>
      <c r="O33" s="211" t="str">
        <f>[1]Blank42!$A$451</f>
        <v>2</v>
      </c>
      <c r="P33" s="100"/>
    </row>
    <row r="34" spans="1:16" ht="12" customHeight="1" x14ac:dyDescent="0.4">
      <c r="A34" s="120" t="str">
        <f>IF(ISOverAdvAmort=1,"Yes","No")</f>
        <v>Yes</v>
      </c>
      <c r="B34" s="110" t="s">
        <v>44</v>
      </c>
      <c r="C34" s="212"/>
      <c r="D34" s="212"/>
      <c r="E34" s="20"/>
      <c r="F34" s="20"/>
      <c r="G34" s="20"/>
      <c r="H34" s="72" t="str">
        <f>[1]Blank42!D461</f>
        <v>A/R</v>
      </c>
      <c r="I34" s="45">
        <f>[1]Blank42!E461</f>
        <v>600</v>
      </c>
      <c r="J34" s="202" t="str">
        <f>IF(AND(AFAR="yes",AFARSelection=1),[1]Blank42!F461,"n/a")</f>
        <v>n/a</v>
      </c>
      <c r="K34" s="202" t="str">
        <f>IF(AND(AFAR="yes",AFARSelection=1),[1]Blank42!G461,"n/a")</f>
        <v>n/a</v>
      </c>
      <c r="L34" s="202" t="str">
        <f>IF(AND(AFAR="yes",AFARSelection=1),[1]Blank42!H461,"n/a")</f>
        <v>n/a</v>
      </c>
      <c r="M34" s="202" t="str">
        <f>IF(AND(AFAR="yes",AFARSelection=1),[1]Blank42!I461,"n/a")</f>
        <v>n/a</v>
      </c>
      <c r="N34" s="202" t="str">
        <f>IF(AND(AFAR="yes",AFARSelection=1),[1]Blank42!J461,"n/a")</f>
        <v>n/a</v>
      </c>
      <c r="O34" s="203" t="str">
        <f>[1]Blank42!$A$458</f>
        <v>No</v>
      </c>
      <c r="P34" s="100"/>
    </row>
    <row r="35" spans="1:16" ht="12" customHeight="1" thickBot="1" x14ac:dyDescent="0.4">
      <c r="A35" s="120" t="str">
        <f>IF(ISOverAdvPymnt=1,"Yes","No")</f>
        <v>Yes</v>
      </c>
      <c r="B35" s="110" t="s">
        <v>45</v>
      </c>
      <c r="C35" s="20"/>
      <c r="D35" s="20"/>
      <c r="E35" s="20"/>
      <c r="F35" s="20"/>
      <c r="G35" s="20"/>
      <c r="H35" s="72" t="str">
        <f>[1]Blank42!D462</f>
        <v>A/R # of Days</v>
      </c>
      <c r="I35" s="213">
        <f>[1]Blank42!E462</f>
        <v>43.8</v>
      </c>
      <c r="J35" s="214" t="str">
        <f>IF(AND(AFAR="yes",AFARSelection=2),[1]Blank42!F462,"n/a")</f>
        <v>n/a</v>
      </c>
      <c r="K35" s="214" t="str">
        <f>IF(AND(AFAR="yes",AFARSelection=2),[1]Blank42!G462,"n/a")</f>
        <v>n/a</v>
      </c>
      <c r="L35" s="214" t="str">
        <f>IF(AND(AFAR="yes",AFARSelection=2),[1]Blank42!H462,"n/a")</f>
        <v>n/a</v>
      </c>
      <c r="M35" s="214" t="str">
        <f>IF(AND(AFAR="yes",AFARSelection=2),[1]Blank42!I462,"n/a")</f>
        <v>n/a</v>
      </c>
      <c r="N35" s="214" t="str">
        <f>IF(AND(AFAR="yes",AFARSelection=2),[1]Blank42!J462,"n/a")</f>
        <v>n/a</v>
      </c>
      <c r="O35" s="211" t="str">
        <f>[1]Blank42!$A$462</f>
        <v>2</v>
      </c>
      <c r="P35" s="100"/>
    </row>
    <row r="36" spans="1:16" ht="12" customHeight="1" x14ac:dyDescent="0.35">
      <c r="A36" s="120" t="str">
        <f>IF(ISOAloan=1,"Yes","No")</f>
        <v>Yes</v>
      </c>
      <c r="B36" s="110" t="s">
        <v>46</v>
      </c>
      <c r="C36" s="20"/>
      <c r="D36" s="20"/>
      <c r="E36" s="20"/>
      <c r="F36" s="20"/>
      <c r="G36" s="20"/>
      <c r="H36" s="72" t="str">
        <f>[1]Blank42!D468</f>
        <v>Inventory</v>
      </c>
      <c r="I36" s="42">
        <f>[1]Blank42!E468</f>
        <v>900</v>
      </c>
      <c r="J36" s="202" t="str">
        <f>IF(AND(AFInv="yes",AFInvSelection=1),[1]Blank42!F468,"n/a")</f>
        <v>n/a</v>
      </c>
      <c r="K36" s="202" t="str">
        <f>IF(AND(AFInv="yes",AFInvSelection=1),[1]Blank42!G468,"n/a")</f>
        <v>n/a</v>
      </c>
      <c r="L36" s="202" t="str">
        <f>IF(AND(AFInv="yes",AFInvSelection=1),[1]Blank42!H468,"n/a")</f>
        <v>n/a</v>
      </c>
      <c r="M36" s="202" t="str">
        <f>IF(AND(AFInv="yes",AFInvSelection=1),[1]Blank42!I468,"n/a")</f>
        <v>n/a</v>
      </c>
      <c r="N36" s="202" t="str">
        <f>IF(AND(AFInv="yes",AFInvSelection=1),[1]Blank42!J468,"n/a")</f>
        <v>n/a</v>
      </c>
      <c r="O36" s="203" t="str">
        <f>[1]Blank42!$A$465</f>
        <v>No</v>
      </c>
      <c r="P36" s="100"/>
    </row>
    <row r="37" spans="1:16" ht="12" customHeight="1" thickBot="1" x14ac:dyDescent="0.4">
      <c r="A37" s="120" t="str">
        <f>IF(ISRevolver=1,"Yes","No")</f>
        <v>Yes</v>
      </c>
      <c r="B37" s="110" t="s">
        <v>47</v>
      </c>
      <c r="C37" s="20"/>
      <c r="D37" s="20"/>
      <c r="E37" s="20"/>
      <c r="F37" s="20"/>
      <c r="G37" s="20"/>
      <c r="H37" s="72" t="str">
        <f>[1]Blank42!$D$469</f>
        <v>Inv. Turns (Sales÷Inv)</v>
      </c>
      <c r="I37" s="213">
        <f>[1]Blank42!E469</f>
        <v>5.5555555555555554</v>
      </c>
      <c r="J37" s="214" t="str">
        <f>IF(AND(AFInv="yes",AFInvSelection=2),[1]Blank42!F469,"n/a")</f>
        <v>n/a</v>
      </c>
      <c r="K37" s="214" t="str">
        <f>IF(AND(AFInv="yes",AFInvSelection=2),[1]Blank42!G469,"n/a")</f>
        <v>n/a</v>
      </c>
      <c r="L37" s="214" t="str">
        <f>IF(AND(AFInv="yes",AFInvSelection=2),[1]Blank42!H469,"n/a")</f>
        <v>n/a</v>
      </c>
      <c r="M37" s="214" t="str">
        <f>IF(AND(AFInv="yes",AFInvSelection=2),[1]Blank42!I469,"n/a")</f>
        <v>n/a</v>
      </c>
      <c r="N37" s="214" t="str">
        <f>IF(AND(AFInv="yes",AFInvSelection=2),[1]Blank42!J469,"n/a")</f>
        <v>n/a</v>
      </c>
      <c r="O37" s="211" t="str">
        <f>[1]Blank42!$A$469</f>
        <v>2</v>
      </c>
      <c r="P37" s="100"/>
    </row>
    <row r="38" spans="1:16" ht="12" customHeight="1" x14ac:dyDescent="0.35">
      <c r="A38" s="120" t="str">
        <f>IF(ISTermloan=1,"Yes","No")</f>
        <v>Yes</v>
      </c>
      <c r="B38" s="110" t="s">
        <v>48</v>
      </c>
      <c r="C38" s="20"/>
      <c r="D38" s="20"/>
      <c r="E38" s="20"/>
      <c r="F38" s="20"/>
      <c r="G38" s="20"/>
      <c r="H38" s="72" t="str">
        <f>[1]Blank42!D479</f>
        <v>A/P</v>
      </c>
      <c r="I38" s="42">
        <f>[1]Blank42!E479</f>
        <v>300</v>
      </c>
      <c r="J38" s="202" t="str">
        <f>IF(AND(AFAP="yes",AFAPSelection=1),[1]Blank42!F479,"n/a")</f>
        <v>n/a</v>
      </c>
      <c r="K38" s="202" t="str">
        <f>IF(AND(AFAP="yes",AFAPSelection=1),[1]Blank42!G479,"n/a")</f>
        <v>n/a</v>
      </c>
      <c r="L38" s="202" t="str">
        <f>IF(AND(AFAP="yes",AFAPSelection=1),[1]Blank42!H479,"n/a")</f>
        <v>n/a</v>
      </c>
      <c r="M38" s="202" t="str">
        <f>IF(AND(AFAP="yes",AFAPSelection=1),[1]Blank42!I479,"n/a")</f>
        <v>n/a</v>
      </c>
      <c r="N38" s="202" t="str">
        <f>IF(AND(AFAP="yes",AFAPSelection=1),[1]Blank42!J479,"n/a")</f>
        <v>n/a</v>
      </c>
      <c r="O38" s="203" t="str">
        <f>[1]Blank42!$A$476</f>
        <v>No</v>
      </c>
      <c r="P38" s="100"/>
    </row>
    <row r="39" spans="1:16" ht="12" customHeight="1" thickBot="1" x14ac:dyDescent="0.4">
      <c r="A39" s="120" t="str">
        <f>IF(ISCapEx=1,"Yes","No")</f>
        <v>Yes</v>
      </c>
      <c r="B39" s="110" t="s">
        <v>49</v>
      </c>
      <c r="C39" s="20"/>
      <c r="D39" s="20"/>
      <c r="E39" s="20"/>
      <c r="F39" s="20"/>
      <c r="G39" s="20"/>
      <c r="H39" s="72" t="str">
        <f>[1]Blank42!D480</f>
        <v>A/P (% of Sales)</v>
      </c>
      <c r="I39" s="215">
        <f>[1]Blank42!E480</f>
        <v>0.06</v>
      </c>
      <c r="J39" s="210" t="str">
        <f>IF(AND(AFAP="yes",AFAPSelection=2),[1]Blank42!F480,"n/a")</f>
        <v>n/a</v>
      </c>
      <c r="K39" s="210" t="str">
        <f>IF(AND(AFAP="yes",AFAPSelection=2),[1]Blank42!G480,"n/a")</f>
        <v>n/a</v>
      </c>
      <c r="L39" s="210" t="str">
        <f>IF(AND(AFAP="yes",AFAPSelection=2),[1]Blank42!H480,"n/a")</f>
        <v>n/a</v>
      </c>
      <c r="M39" s="210" t="str">
        <f>IF(AND(AFAP="yes",AFAPSelection=2),[1]Blank42!I480,"n/a")</f>
        <v>n/a</v>
      </c>
      <c r="N39" s="210" t="str">
        <f>IF(AND(AFAP="yes",AFAPSelection=2),[1]Blank42!J480,"n/a")</f>
        <v>n/a</v>
      </c>
      <c r="O39" s="211">
        <f>[1]Blank42!$A$480</f>
        <v>2</v>
      </c>
      <c r="P39" s="100"/>
    </row>
    <row r="40" spans="1:16" ht="12" customHeight="1" x14ac:dyDescent="0.35">
      <c r="A40" s="120" t="str">
        <f>IF(ISGapAcc=1,"Yes","No")</f>
        <v>Yes</v>
      </c>
      <c r="B40" s="110" t="s">
        <v>50</v>
      </c>
      <c r="C40" s="65"/>
      <c r="D40" s="66"/>
      <c r="E40" s="20"/>
      <c r="F40" s="20"/>
      <c r="G40" s="20"/>
      <c r="H40" s="72" t="str">
        <f>[1]Blank42!D455</f>
        <v>Cap Ex/yr</v>
      </c>
      <c r="I40" s="45" t="s">
        <v>41</v>
      </c>
      <c r="J40" s="202" t="str">
        <f>IF(AND(AFCapE="yes",AFCapESelection=1),[1]Blank42!F455,"n/a")</f>
        <v>n/a</v>
      </c>
      <c r="K40" s="202" t="str">
        <f>IF(AND(AFCapE="yes",AFCapESelection=1),[1]Blank42!G455,"n/a")</f>
        <v>n/a</v>
      </c>
      <c r="L40" s="202" t="str">
        <f>IF(AND(AFCapE="yes",AFCapESelection=1),[1]Blank42!H455,"n/a")</f>
        <v>n/a</v>
      </c>
      <c r="M40" s="202" t="str">
        <f>IF(AND(AFCapE="yes",AFCapESelection=1),[1]Blank42!I455,"n/a")</f>
        <v>n/a</v>
      </c>
      <c r="N40" s="202" t="str">
        <f>IF(AND(AFCapE="yes",AFCapESelection=1),[1]Blank42!J455,"n/a")</f>
        <v>n/a</v>
      </c>
      <c r="O40" s="203" t="str">
        <f>[1]Blank42!$A$455</f>
        <v>No</v>
      </c>
      <c r="P40" s="100"/>
    </row>
    <row r="41" spans="1:16" ht="12" customHeight="1" thickBot="1" x14ac:dyDescent="0.4">
      <c r="A41" s="120" t="str">
        <f>IF(ISDiv=1,"Yes","No")</f>
        <v>Yes</v>
      </c>
      <c r="B41" s="110" t="s">
        <v>51</v>
      </c>
      <c r="C41" s="65"/>
      <c r="D41" s="66"/>
      <c r="E41" s="20"/>
      <c r="F41" s="20"/>
      <c r="G41" s="20"/>
      <c r="H41" s="72" t="str">
        <f>[1]Blank42!D456</f>
        <v>Cap Ex(% of EBITDA )</v>
      </c>
      <c r="I41" s="216" t="s">
        <v>41</v>
      </c>
      <c r="J41" s="205" t="str">
        <f>IF(AND(AFCapE="yes",AFCapESelection=2),[1]Blank42!F456,"n/a")</f>
        <v>n/a</v>
      </c>
      <c r="K41" s="205" t="str">
        <f>IF(AND(AFCapE="yes",AFCapESelection=2),[1]Blank42!G456,"n/a")</f>
        <v>n/a</v>
      </c>
      <c r="L41" s="205" t="str">
        <f>IF(AND(AFCapE="yes",AFCapESelection=2),[1]Blank42!H456,"n/a")</f>
        <v>n/a</v>
      </c>
      <c r="M41" s="205" t="str">
        <f>IF(AND(AFCapE="yes",AFCapESelection=2),[1]Blank42!I456,"n/a")</f>
        <v>n/a</v>
      </c>
      <c r="N41" s="205" t="str">
        <f>IF(AND(AFCapE="yes",AFCapESelection=2),[1]Blank42!J456,"n/a")</f>
        <v>n/a</v>
      </c>
      <c r="O41" s="206" t="str">
        <f>[1]Blank42!$A$456</f>
        <v>2</v>
      </c>
      <c r="P41" s="100"/>
    </row>
    <row r="42" spans="1:16" ht="12" customHeight="1" x14ac:dyDescent="0.35">
      <c r="A42" s="120" t="s">
        <v>52</v>
      </c>
      <c r="B42" s="217" t="str">
        <f>IF([1]Blank42!$C$1071=1,"Cash Flow Convention for ROI: Year-end","Cash Flow Convention for ROI: Mid-year")</f>
        <v>Cash Flow Convention for ROI: Year-end</v>
      </c>
      <c r="C42" s="20"/>
      <c r="D42" s="20"/>
      <c r="E42" s="20"/>
      <c r="F42" s="20"/>
      <c r="G42" s="20"/>
      <c r="H42" s="72" t="str">
        <f>[1]Blank42!D473</f>
        <v>Available Add'l Equity</v>
      </c>
      <c r="I42" s="218" t="s">
        <v>41</v>
      </c>
      <c r="J42" s="219" t="str">
        <f>IF(AFEquity="yes",IF([1]Blank42!F473=0,FIXED(0,0,0),[1]Blank42!F473),"n/a")</f>
        <v>n/a</v>
      </c>
      <c r="K42" s="219" t="str">
        <f>IF(AFEquity="yes",IF([1]Blank42!G473=0,FIXED(0,0,0),[1]Blank42!G473),"n/a")</f>
        <v>n/a</v>
      </c>
      <c r="L42" s="219" t="str">
        <f>IF(AFEquity="yes",IF([1]Blank42!H473=0,FIXED(0,0,0),[1]Blank42!H473),"n/a")</f>
        <v>n/a</v>
      </c>
      <c r="M42" s="219" t="str">
        <f>IF(AFEquity="yes",IF([1]Blank42!I473=0,FIXED(0,0,0),[1]Blank42!I473),"n/a")</f>
        <v>n/a</v>
      </c>
      <c r="N42" s="219" t="str">
        <f>IF(AFEquity="yes",IF([1]Blank42!J473=0,FIXED(0,0,0),[1]Blank42!J473),"n/a")</f>
        <v>n/a</v>
      </c>
      <c r="O42" s="220" t="str">
        <f>[1]Blank42!$A$473</f>
        <v>No</v>
      </c>
      <c r="P42" s="100"/>
    </row>
    <row r="43" spans="1:16" ht="12" customHeight="1" x14ac:dyDescent="0.4">
      <c r="A43" s="120" t="s">
        <v>53</v>
      </c>
      <c r="B43" s="110" t="str">
        <f>IF([1]Blank42!C1058=1,"Old Fixed Assets: Straight Line","Old Fixed Assets: MACR "&amp;ROUND([1]Blank42!G1058*100,2)&amp;"%,"&amp;ROUND([1]Blank42!H1058*100,2)&amp;"%,"&amp;ROUND([1]Blank42!I1058*100,2)&amp;"%,"&amp;ROUND([1]Blank42!J1058*100,2)&amp;"%,"&amp;ROUND([1]Blank42!K1058*100,2)&amp;"%")</f>
        <v>Old Fixed Assets: Straight Line</v>
      </c>
      <c r="C43" s="212"/>
      <c r="D43" s="212"/>
      <c r="E43" s="20"/>
      <c r="F43" s="20"/>
      <c r="G43" s="20"/>
      <c r="H43" s="72" t="str">
        <f>[1]Blank42!L45</f>
        <v>Prepaid Consulting</v>
      </c>
      <c r="I43" s="218" t="s">
        <v>41</v>
      </c>
      <c r="J43" s="221" t="str">
        <f>IF([1]Blank42!M45&gt;0,[1]Blank42!M45,"n/a")</f>
        <v>n/a</v>
      </c>
      <c r="K43" s="222"/>
      <c r="L43" s="222"/>
      <c r="M43" s="222"/>
      <c r="N43" s="222"/>
      <c r="O43" s="223"/>
      <c r="P43" s="100"/>
    </row>
    <row r="44" spans="1:16" ht="12" customHeight="1" x14ac:dyDescent="0.4">
      <c r="A44" s="120" t="s">
        <v>53</v>
      </c>
      <c r="B44" s="110" t="str">
        <f>IF([1]Blank42!C1064=1,"New Fixed Assets: Straight Line","New Fixed Assets: MACR "&amp;ROUND([1]Blank42!G1064*100,2)&amp;"%,"&amp;ROUND([1]Blank42!H1064*100,2)&amp;"%,"&amp;ROUND([1]Blank42!I1064*100,2)&amp;"%,"&amp;ROUND([1]Blank42!J1064*100,2)&amp;"%,"&amp;ROUND([1]Blank42!K1064*100,2)&amp;"%")</f>
        <v>New Fixed Assets: Straight Line</v>
      </c>
      <c r="C44" s="212"/>
      <c r="D44" s="212"/>
      <c r="E44" s="20"/>
      <c r="F44" s="20"/>
      <c r="G44" s="20"/>
      <c r="H44" s="72"/>
      <c r="I44" s="56"/>
      <c r="J44" s="56" t="s">
        <v>16</v>
      </c>
      <c r="K44" s="224" t="str">
        <f>IF([1]Blank42!$C1082="","",[1]Blank42!$C1082)</f>
        <v/>
      </c>
      <c r="L44" s="224"/>
      <c r="M44" s="224"/>
      <c r="N44" s="224"/>
      <c r="O44" s="225"/>
      <c r="P44" s="100"/>
    </row>
    <row r="45" spans="1:16" ht="12" customHeight="1" x14ac:dyDescent="0.4">
      <c r="A45" s="120" t="s">
        <v>54</v>
      </c>
      <c r="B45" s="110" t="str">
        <f>"Exit Sale Type-Asset, Stock or Same?: "&amp;(IF(OR([1]Blank42!C1067=1,M12="PM"),"Same as Purchase",IF([1]Blank42!C1067=2,"Asset","Stock")))</f>
        <v>Exit Sale Type-Asset, Stock or Same?: Same as Purchase</v>
      </c>
      <c r="C45" s="212"/>
      <c r="D45" s="212"/>
      <c r="E45" s="20"/>
      <c r="F45" s="20"/>
      <c r="G45" s="20"/>
      <c r="H45" s="72"/>
      <c r="I45" s="56"/>
      <c r="J45" s="56"/>
      <c r="K45" s="224" t="str">
        <f>IF([1]Blank42!$C1083="","",[1]Blank42!$C1083)</f>
        <v/>
      </c>
      <c r="L45" s="224"/>
      <c r="M45" s="224"/>
      <c r="N45" s="224"/>
      <c r="O45" s="225"/>
      <c r="P45" s="100"/>
    </row>
    <row r="46" spans="1:16" ht="12" customHeight="1" x14ac:dyDescent="0.4">
      <c r="A46" s="226">
        <f>IF(ISConsult=1,[1]Blank42!J645,[1]Blank42!J646)</f>
        <v>0.08</v>
      </c>
      <c r="B46" s="217" t="s">
        <v>55</v>
      </c>
      <c r="C46" s="212"/>
      <c r="D46" s="212"/>
      <c r="E46" s="20"/>
      <c r="F46" s="20"/>
      <c r="G46" s="20"/>
      <c r="H46" s="72"/>
      <c r="I46" s="56"/>
      <c r="J46" s="56"/>
      <c r="K46" s="224" t="str">
        <f>IF([1]Blank42!$C1084="","",[1]Blank42!$C1084)</f>
        <v/>
      </c>
      <c r="L46" s="224"/>
      <c r="M46" s="224"/>
      <c r="N46" s="224"/>
      <c r="O46" s="225"/>
      <c r="P46" s="100"/>
    </row>
    <row r="47" spans="1:16" ht="12" customHeight="1" x14ac:dyDescent="0.4">
      <c r="A47" s="226"/>
      <c r="B47" s="217"/>
      <c r="C47" s="212"/>
      <c r="D47" s="212"/>
      <c r="E47" s="20"/>
      <c r="F47" s="20"/>
      <c r="G47" s="20"/>
      <c r="H47" s="72"/>
      <c r="I47" s="56"/>
      <c r="J47" s="56"/>
      <c r="K47" s="224" t="str">
        <f>IF([1]Blank42!$C1085="","",[1]Blank42!$C1085)</f>
        <v/>
      </c>
      <c r="L47" s="224"/>
      <c r="M47" s="224"/>
      <c r="N47" s="224"/>
      <c r="O47" s="225"/>
      <c r="P47" s="100"/>
    </row>
    <row r="48" spans="1:16" ht="12" customHeight="1" x14ac:dyDescent="0.4">
      <c r="A48" s="226"/>
      <c r="B48" s="217"/>
      <c r="C48" s="212"/>
      <c r="D48" s="212"/>
      <c r="E48" s="20"/>
      <c r="F48" s="20"/>
      <c r="G48" s="20"/>
      <c r="H48" s="72"/>
      <c r="I48" s="56"/>
      <c r="J48" s="56"/>
      <c r="K48" s="224" t="str">
        <f>IF([1]Blank42!$C1086="","",[1]Blank42!$C1086)</f>
        <v/>
      </c>
      <c r="L48" s="224"/>
      <c r="M48" s="224"/>
      <c r="N48" s="224"/>
      <c r="O48" s="225"/>
      <c r="P48" s="100"/>
    </row>
    <row r="49" spans="1:16" ht="12" customHeight="1" x14ac:dyDescent="0.4">
      <c r="A49" s="226"/>
      <c r="B49" s="217"/>
      <c r="C49" s="212"/>
      <c r="D49" s="212"/>
      <c r="E49" s="20"/>
      <c r="F49" s="20"/>
      <c r="G49" s="20"/>
      <c r="H49" s="72"/>
      <c r="I49" s="56"/>
      <c r="J49" s="56"/>
      <c r="K49" s="224" t="str">
        <f>IF([1]Blank42!$C1087="","",[1]Blank42!$C1087)</f>
        <v/>
      </c>
      <c r="L49" s="224"/>
      <c r="M49" s="224"/>
      <c r="N49" s="224"/>
      <c r="O49" s="225"/>
      <c r="P49" s="100"/>
    </row>
    <row r="50" spans="1:16" ht="12" customHeight="1" x14ac:dyDescent="0.4">
      <c r="A50" s="226"/>
      <c r="B50" s="217"/>
      <c r="C50" s="212"/>
      <c r="D50" s="212"/>
      <c r="E50" s="20"/>
      <c r="F50" s="20"/>
      <c r="G50" s="20"/>
      <c r="H50" s="72"/>
      <c r="I50" s="56"/>
      <c r="J50" s="56"/>
      <c r="K50" s="224" t="str">
        <f>IF([1]Blank42!$C1088="","",[1]Blank42!$C1088)</f>
        <v/>
      </c>
      <c r="L50" s="224"/>
      <c r="M50" s="224"/>
      <c r="N50" s="224"/>
      <c r="O50" s="225"/>
      <c r="P50" s="100"/>
    </row>
    <row r="51" spans="1:16" ht="12" customHeight="1" x14ac:dyDescent="0.4">
      <c r="A51" s="227" t="str">
        <f ca="1">ROUND(A57,0)&amp;[1]Blank42!O11</f>
        <v>8164150</v>
      </c>
      <c r="B51" s="78" t="str">
        <f>[1]Blank42!$A$9</f>
        <v>BVX®</v>
      </c>
      <c r="C51" s="228"/>
      <c r="D51" s="228"/>
      <c r="E51" s="228"/>
      <c r="F51" s="79"/>
      <c r="G51" s="79"/>
      <c r="H51" s="79"/>
      <c r="I51" s="79"/>
      <c r="J51" s="79"/>
      <c r="K51" s="229" t="str">
        <f>IF([1]Blank42!$C1089="","",[1]Blank42!$C1089)</f>
        <v/>
      </c>
      <c r="L51" s="229"/>
      <c r="M51" s="229"/>
      <c r="N51" s="229"/>
      <c r="O51" s="230"/>
      <c r="P51" s="100"/>
    </row>
    <row r="52" spans="1:16" ht="12" customHeight="1" x14ac:dyDescent="0.4">
      <c r="A52" s="107"/>
      <c r="B52" s="231"/>
      <c r="C52" s="231"/>
      <c r="D52" s="231"/>
      <c r="E52" s="231"/>
      <c r="F52" s="231"/>
      <c r="G52" s="2"/>
      <c r="H52" s="2"/>
      <c r="I52" s="2"/>
      <c r="J52" s="2"/>
      <c r="K52" s="2"/>
      <c r="L52" s="232"/>
      <c r="M52" s="233"/>
      <c r="N52" s="2"/>
      <c r="O52" s="2"/>
    </row>
    <row r="53" spans="1:16" ht="12" customHeight="1" x14ac:dyDescent="0.35">
      <c r="A53" s="2"/>
      <c r="B53" s="2"/>
      <c r="C53" s="2"/>
      <c r="D53" s="2"/>
      <c r="E53" s="2"/>
      <c r="F53" s="2"/>
      <c r="G53" s="2"/>
      <c r="H53" s="2"/>
      <c r="I53" s="2"/>
      <c r="J53" s="2"/>
      <c r="K53" s="2"/>
      <c r="L53" s="2"/>
      <c r="M53" s="2"/>
      <c r="N53" s="2"/>
      <c r="O53" s="2"/>
    </row>
    <row r="57" spans="1:16" ht="12" customHeight="1" x14ac:dyDescent="0.35">
      <c r="A57" s="234">
        <f ca="1">'[1]Valuation 1'!$A$44</f>
        <v>816414.83860721253</v>
      </c>
    </row>
    <row r="58" spans="1:16" ht="12" customHeight="1" x14ac:dyDescent="0.35">
      <c r="A58" s="90"/>
      <c r="B58" s="158"/>
      <c r="E58" s="90"/>
    </row>
    <row r="59" spans="1:16" ht="12" customHeight="1" x14ac:dyDescent="0.35">
      <c r="A59" s="90"/>
      <c r="B59" s="158"/>
    </row>
    <row r="60" spans="1:16" ht="12" customHeight="1" x14ac:dyDescent="0.35">
      <c r="A60" s="90"/>
      <c r="B60" s="158"/>
    </row>
    <row r="61" spans="1:16" ht="12" customHeight="1" x14ac:dyDescent="0.35">
      <c r="A61" s="90"/>
      <c r="B61" s="158"/>
    </row>
    <row r="62" spans="1:16" ht="12" customHeight="1" x14ac:dyDescent="0.35">
      <c r="A62" s="90"/>
      <c r="B62" s="158"/>
    </row>
    <row r="63" spans="1:16" ht="12" customHeight="1" x14ac:dyDescent="0.35">
      <c r="A63" s="90"/>
      <c r="B63" s="158"/>
    </row>
    <row r="64" spans="1:16" ht="12" customHeight="1" x14ac:dyDescent="0.35">
      <c r="A64" s="90"/>
      <c r="B64" s="158"/>
      <c r="J64" s="235"/>
    </row>
    <row r="65" spans="1:10" ht="12" customHeight="1" x14ac:dyDescent="0.35">
      <c r="A65" s="90"/>
      <c r="B65" s="158"/>
      <c r="J65" s="236"/>
    </row>
    <row r="66" spans="1:10" ht="12" customHeight="1" x14ac:dyDescent="0.35">
      <c r="A66" s="90"/>
      <c r="B66" s="158"/>
    </row>
    <row r="67" spans="1:10" ht="12" customHeight="1" x14ac:dyDescent="0.35">
      <c r="A67" s="90"/>
      <c r="B67" s="158"/>
    </row>
    <row r="68" spans="1:10" ht="12" customHeight="1" x14ac:dyDescent="0.35">
      <c r="A68" s="90"/>
      <c r="B68" s="158"/>
    </row>
    <row r="69" spans="1:10" ht="12" customHeight="1" x14ac:dyDescent="0.35">
      <c r="A69" s="90"/>
      <c r="B69" s="158"/>
    </row>
    <row r="70" spans="1:10" ht="12" customHeight="1" x14ac:dyDescent="0.35">
      <c r="A70" s="90"/>
      <c r="B70" s="158"/>
    </row>
    <row r="71" spans="1:10" ht="12" customHeight="1" x14ac:dyDescent="0.35">
      <c r="A71" s="90"/>
      <c r="B71" s="158"/>
    </row>
    <row r="72" spans="1:10" ht="12" customHeight="1" x14ac:dyDescent="0.35">
      <c r="A72" s="90"/>
      <c r="B72" s="158"/>
    </row>
    <row r="73" spans="1:10" ht="12" customHeight="1" x14ac:dyDescent="0.35">
      <c r="A73" s="90"/>
      <c r="B73" s="158"/>
    </row>
    <row r="74" spans="1:10" ht="12" customHeight="1" x14ac:dyDescent="0.35">
      <c r="A74" s="90"/>
      <c r="B74" s="158"/>
    </row>
    <row r="75" spans="1:10" ht="12" customHeight="1" x14ac:dyDescent="0.35">
      <c r="A75" s="90"/>
      <c r="B75" s="158"/>
    </row>
    <row r="76" spans="1:10" ht="12" customHeight="1" x14ac:dyDescent="0.35">
      <c r="A76" s="90"/>
      <c r="B76" s="158"/>
      <c r="C76" s="237"/>
      <c r="D76" s="237"/>
      <c r="E76" s="237"/>
      <c r="F76" s="237"/>
      <c r="G76" s="237"/>
    </row>
    <row r="77" spans="1:10" ht="12" customHeight="1" x14ac:dyDescent="0.35">
      <c r="A77" s="90"/>
      <c r="B77" s="158"/>
      <c r="C77" s="237"/>
      <c r="D77" s="237"/>
      <c r="E77" s="237"/>
      <c r="F77" s="237"/>
      <c r="G77" s="237"/>
    </row>
    <row r="78" spans="1:10" ht="12" customHeight="1" x14ac:dyDescent="0.35">
      <c r="A78" s="90"/>
      <c r="B78" s="158"/>
    </row>
    <row r="79" spans="1:10" ht="12" customHeight="1" x14ac:dyDescent="0.35">
      <c r="A79" s="90"/>
      <c r="B79" s="90"/>
    </row>
    <row r="80" spans="1:10" ht="12" customHeight="1" x14ac:dyDescent="0.35">
      <c r="A80" s="90"/>
      <c r="B80" s="90"/>
    </row>
    <row r="81" spans="1:2" ht="12" customHeight="1" x14ac:dyDescent="0.35">
      <c r="A81" s="90"/>
      <c r="B81" s="90"/>
    </row>
    <row r="83" spans="1:2" ht="12" customHeight="1" x14ac:dyDescent="0.35">
      <c r="A83" s="90"/>
      <c r="B83" s="90"/>
    </row>
    <row r="84" spans="1:2" ht="12" customHeight="1" x14ac:dyDescent="0.35">
      <c r="A84" s="90"/>
      <c r="B84" s="90"/>
    </row>
    <row r="85" spans="1:2" ht="12" customHeight="1" x14ac:dyDescent="0.35">
      <c r="A85" s="90"/>
      <c r="B85" s="90"/>
    </row>
    <row r="86" spans="1:2" ht="12" customHeight="1" x14ac:dyDescent="0.35">
      <c r="A86" s="90"/>
      <c r="B86" s="90"/>
    </row>
    <row r="87" spans="1:2" ht="12" customHeight="1" x14ac:dyDescent="0.35">
      <c r="A87" s="90"/>
      <c r="B87" s="90"/>
    </row>
    <row r="88" spans="1:2" ht="12" customHeight="1" x14ac:dyDescent="0.35">
      <c r="A88" s="90"/>
      <c r="B88" s="90"/>
    </row>
    <row r="89" spans="1:2" ht="12" customHeight="1" x14ac:dyDescent="0.35">
      <c r="A89" s="90"/>
      <c r="B89" s="90"/>
    </row>
    <row r="90" spans="1:2" ht="12" customHeight="1" x14ac:dyDescent="0.35">
      <c r="A90" s="90"/>
      <c r="B90" s="90"/>
    </row>
    <row r="91" spans="1:2" ht="12" customHeight="1" x14ac:dyDescent="0.35">
      <c r="A91" s="90"/>
      <c r="B91" s="90"/>
    </row>
    <row r="92" spans="1:2" ht="12" customHeight="1" x14ac:dyDescent="0.35">
      <c r="A92" s="90"/>
      <c r="B92" s="90"/>
    </row>
    <row r="93" spans="1:2" ht="12" customHeight="1" x14ac:dyDescent="0.35">
      <c r="A93" s="90"/>
      <c r="B93" s="90"/>
    </row>
    <row r="94" spans="1:2" ht="12" customHeight="1" x14ac:dyDescent="0.35">
      <c r="A94" s="90"/>
      <c r="B94" s="90"/>
    </row>
    <row r="95" spans="1:2" ht="12" customHeight="1" x14ac:dyDescent="0.35">
      <c r="A95" s="90"/>
      <c r="B95" s="90"/>
    </row>
    <row r="96" spans="1:2" ht="12" customHeight="1" x14ac:dyDescent="0.35">
      <c r="A96" s="90"/>
      <c r="B96" s="90"/>
    </row>
  </sheetData>
  <mergeCells count="9">
    <mergeCell ref="K49:O49"/>
    <mergeCell ref="K50:O50"/>
    <mergeCell ref="K51:O51"/>
    <mergeCell ref="M5:N5"/>
    <mergeCell ref="K44:O44"/>
    <mergeCell ref="K45:O45"/>
    <mergeCell ref="K46:O46"/>
    <mergeCell ref="K47:O47"/>
    <mergeCell ref="K48:O48"/>
  </mergeCells>
  <conditionalFormatting sqref="B52:F52">
    <cfRule type="cellIs" dxfId="69" priority="1" stopIfTrue="1" operator="lessThanOrEqual">
      <formula>-0.1</formula>
    </cfRule>
  </conditionalFormatting>
  <conditionalFormatting sqref="N13">
    <cfRule type="expression" dxfId="68" priority="2" stopIfTrue="1">
      <formula>LEFT(M13,1)&lt;&gt;"P"</formula>
    </cfRule>
  </conditionalFormatting>
  <conditionalFormatting sqref="O13">
    <cfRule type="expression" dxfId="67" priority="3" stopIfTrue="1">
      <formula>LEFT(M13,1)&lt;&gt;"P"</formula>
    </cfRule>
  </conditionalFormatting>
  <conditionalFormatting sqref="A51">
    <cfRule type="expression" dxfId="66" priority="4" stopIfTrue="1">
      <formula>$B$40&lt;-0.001*$D$11</formula>
    </cfRule>
  </conditionalFormatting>
  <conditionalFormatting sqref="C34 C43:C50">
    <cfRule type="expression" dxfId="65" priority="5" stopIfTrue="1">
      <formula>$C$40&lt;-0.001*$D$11</formula>
    </cfRule>
  </conditionalFormatting>
  <conditionalFormatting sqref="D34 D43:D50">
    <cfRule type="expression" dxfId="64" priority="6" stopIfTrue="1">
      <formula>$D$40&lt;-0.001*$D$11</formula>
    </cfRule>
  </conditionalFormatting>
  <conditionalFormatting sqref="J13:L13">
    <cfRule type="expression" dxfId="63" priority="7" stopIfTrue="1">
      <formula>LEFT(J13,15)="Exit Multiple C"</formula>
    </cfRule>
  </conditionalFormatting>
  <conditionalFormatting sqref="M13">
    <cfRule type="expression" dxfId="62" priority="8" stopIfTrue="1">
      <formula>LEFT(J13,15)="Exit Multiple C"</formula>
    </cfRule>
  </conditionalFormatting>
  <conditionalFormatting sqref="D26">
    <cfRule type="expression" dxfId="61" priority="9" stopIfTrue="1">
      <formula>$E$30="Yes"</formula>
    </cfRule>
  </conditionalFormatting>
  <conditionalFormatting sqref="D27">
    <cfRule type="expression" dxfId="60" priority="10" stopIfTrue="1">
      <formula>$E$40="Yes"</formula>
    </cfRule>
  </conditionalFormatting>
  <conditionalFormatting sqref="D28">
    <cfRule type="expression" dxfId="59" priority="11" stopIfTrue="1">
      <formula>$E$32="Yes"</formula>
    </cfRule>
  </conditionalFormatting>
  <conditionalFormatting sqref="D22">
    <cfRule type="expression" dxfId="58" priority="12" stopIfTrue="1">
      <formula>$E$38="Yes"</formula>
    </cfRule>
  </conditionalFormatting>
  <conditionalFormatting sqref="A22:C22">
    <cfRule type="expression" dxfId="57" priority="13" stopIfTrue="1">
      <formula>$E$38="Yes"</formula>
    </cfRule>
  </conditionalFormatting>
  <conditionalFormatting sqref="A27:C27">
    <cfRule type="expression" dxfId="56" priority="14" stopIfTrue="1">
      <formula>$E$40="Yes"</formula>
    </cfRule>
  </conditionalFormatting>
  <conditionalFormatting sqref="A28:C28">
    <cfRule type="expression" dxfId="55" priority="15" stopIfTrue="1">
      <formula>$E$32="Yes"</formula>
    </cfRule>
  </conditionalFormatting>
  <conditionalFormatting sqref="A26:C26">
    <cfRule type="expression" dxfId="54" priority="16" stopIfTrue="1">
      <formula>$E$30="Yes"</formula>
    </cfRule>
  </conditionalFormatting>
  <conditionalFormatting sqref="D19:D20">
    <cfRule type="expression" dxfId="53" priority="17" stopIfTrue="1">
      <formula>$E$33="Yes"</formula>
    </cfRule>
  </conditionalFormatting>
  <conditionalFormatting sqref="J43">
    <cfRule type="expression" dxfId="52" priority="18" stopIfTrue="1">
      <formula>$J$43&lt;&gt;"n/a"</formula>
    </cfRule>
  </conditionalFormatting>
  <conditionalFormatting sqref="J38:O38">
    <cfRule type="expression" dxfId="51" priority="19" stopIfTrue="1">
      <formula>(($O$39=1)*($O$38="Yes"))=1</formula>
    </cfRule>
    <cfRule type="expression" dxfId="50" priority="20" stopIfTrue="1">
      <formula>(($O$39=1)*($O$38="No"))=1</formula>
    </cfRule>
  </conditionalFormatting>
  <conditionalFormatting sqref="J39:O39">
    <cfRule type="expression" dxfId="49" priority="21" stopIfTrue="1">
      <formula>(($O39=2)*($O$38="Yes"))=1</formula>
    </cfRule>
    <cfRule type="expression" dxfId="48" priority="22" stopIfTrue="1">
      <formula>(($O$39=2)*($O$38="No"))=1</formula>
    </cfRule>
  </conditionalFormatting>
  <conditionalFormatting sqref="J34:O34">
    <cfRule type="expression" dxfId="47" priority="23" stopIfTrue="1">
      <formula>(($O$35=1)*($O$34="Yes"))=1</formula>
    </cfRule>
    <cfRule type="expression" dxfId="46" priority="24" stopIfTrue="1">
      <formula>(($O$35=1)*($O$34="No"))=1</formula>
    </cfRule>
  </conditionalFormatting>
  <conditionalFormatting sqref="J35:O35">
    <cfRule type="expression" dxfId="45" priority="25" stopIfTrue="1">
      <formula>(($O$35=2)*($O$34="Yes"))=1</formula>
    </cfRule>
    <cfRule type="expression" dxfId="44" priority="26" stopIfTrue="1">
      <formula>(($O$35=2)*($O$34="No"))=1</formula>
    </cfRule>
  </conditionalFormatting>
  <conditionalFormatting sqref="J40:O40">
    <cfRule type="expression" dxfId="43" priority="27" stopIfTrue="1">
      <formula>(($O$41=1)*($O$40="Yes"))=1</formula>
    </cfRule>
    <cfRule type="expression" dxfId="42" priority="28" stopIfTrue="1">
      <formula>(($O$41=1)*($O$40="No"))=1</formula>
    </cfRule>
  </conditionalFormatting>
  <conditionalFormatting sqref="J41:O41">
    <cfRule type="expression" dxfId="41" priority="29" stopIfTrue="1">
      <formula>(($O$41=2)*($O$40="Yes"))=1</formula>
    </cfRule>
    <cfRule type="expression" dxfId="40" priority="30" stopIfTrue="1">
      <formula>(($O$41=2)*($O$40="No"))=1</formula>
    </cfRule>
  </conditionalFormatting>
  <conditionalFormatting sqref="J32:O32">
    <cfRule type="expression" dxfId="39" priority="31" stopIfTrue="1">
      <formula>(($O$33=1)*($O$32="Yes"))=1</formula>
    </cfRule>
    <cfRule type="expression" dxfId="38" priority="32" stopIfTrue="1">
      <formula>(($O$33=1)*($O$32="No"))=1</formula>
    </cfRule>
  </conditionalFormatting>
  <conditionalFormatting sqref="J33:O33">
    <cfRule type="expression" dxfId="37" priority="33" stopIfTrue="1">
      <formula>(($O$33=2)*($O$32="Yes"))=1</formula>
    </cfRule>
    <cfRule type="expression" dxfId="36" priority="34" stopIfTrue="1">
      <formula>(($O$33=2)*($O$32="No"))=1</formula>
    </cfRule>
  </conditionalFormatting>
  <conditionalFormatting sqref="J36:O36">
    <cfRule type="expression" dxfId="35" priority="35" stopIfTrue="1">
      <formula>(($O$37=1)*($O$36="Yes"))=1</formula>
    </cfRule>
    <cfRule type="expression" dxfId="34" priority="36" stopIfTrue="1">
      <formula>(($O$37=1)*($O$36="No"))=1</formula>
    </cfRule>
  </conditionalFormatting>
  <conditionalFormatting sqref="J37:O37">
    <cfRule type="expression" dxfId="33" priority="37" stopIfTrue="1">
      <formula>(($O$37=2)*($O$36="Yes"))=1</formula>
    </cfRule>
    <cfRule type="expression" dxfId="32" priority="38" stopIfTrue="1">
      <formula>(($O$37=2)*($O$36="No"))=1</formula>
    </cfRule>
  </conditionalFormatting>
  <conditionalFormatting sqref="J30:O30">
    <cfRule type="expression" dxfId="31" priority="39" stopIfTrue="1">
      <formula>(($O$31=1)*($O$30="Yes"))=1</formula>
    </cfRule>
    <cfRule type="expression" dxfId="30" priority="40" stopIfTrue="1">
      <formula>(($O$31=1)*($O$30="No"))=1</formula>
    </cfRule>
  </conditionalFormatting>
  <conditionalFormatting sqref="J31:O31">
    <cfRule type="expression" dxfId="29" priority="41" stopIfTrue="1">
      <formula>(($O$31=2)*($O$30="Yes"))=1</formula>
    </cfRule>
    <cfRule type="expression" dxfId="28" priority="42" stopIfTrue="1">
      <formula>(($O$31=2)*($O$30="No"))=1</formula>
    </cfRule>
  </conditionalFormatting>
  <conditionalFormatting sqref="J42:O42">
    <cfRule type="expression" dxfId="27" priority="43" stopIfTrue="1">
      <formula>$O$42="Yes"</formula>
    </cfRule>
  </conditionalFormatting>
  <conditionalFormatting sqref="J17:K21 L17:O17 O18:O19 N19:N20 L21">
    <cfRule type="expression" dxfId="26" priority="44" stopIfTrue="1">
      <formula>$J$17</formula>
    </cfRule>
  </conditionalFormatting>
  <conditionalFormatting sqref="L18:M20 N18 M21:O21 O20">
    <cfRule type="expression" dxfId="25" priority="45" stopIfTrue="1">
      <formula>$J$17</formula>
    </cfRule>
  </conditionalFormatting>
  <conditionalFormatting sqref="J24:N24">
    <cfRule type="expression" dxfId="24" priority="46" stopIfTrue="1">
      <formula>$J$24</formula>
    </cfRule>
  </conditionalFormatting>
  <conditionalFormatting sqref="O24">
    <cfRule type="expression" dxfId="23" priority="47" stopIfTrue="1">
      <formula>$J$24</formula>
    </cfRule>
  </conditionalFormatting>
  <conditionalFormatting sqref="J25:L25">
    <cfRule type="expression" dxfId="22" priority="48" stopIfTrue="1">
      <formula>$J$25</formula>
    </cfRule>
  </conditionalFormatting>
  <conditionalFormatting sqref="M25:O25">
    <cfRule type="expression" dxfId="21" priority="49" stopIfTrue="1">
      <formula>$J$25</formula>
    </cfRule>
  </conditionalFormatting>
  <conditionalFormatting sqref="J23:L23">
    <cfRule type="expression" dxfId="20" priority="50" stopIfTrue="1">
      <formula>$J$23</formula>
    </cfRule>
  </conditionalFormatting>
  <conditionalFormatting sqref="M23:O23">
    <cfRule type="expression" dxfId="19" priority="51" stopIfTrue="1">
      <formula>$J$23</formula>
    </cfRule>
  </conditionalFormatting>
  <conditionalFormatting sqref="J26:L26 J27:N27 J28:L28 N28">
    <cfRule type="expression" dxfId="18" priority="52" stopIfTrue="1">
      <formula>$J$26</formula>
    </cfRule>
  </conditionalFormatting>
  <conditionalFormatting sqref="M26:O26 O27:O28 M28">
    <cfRule type="expression" dxfId="17" priority="53" stopIfTrue="1">
      <formula>$J$26</formula>
    </cfRule>
  </conditionalFormatting>
  <conditionalFormatting sqref="J14:O15">
    <cfRule type="expression" dxfId="16" priority="54" stopIfTrue="1">
      <formula>$M$14=0</formula>
    </cfRule>
    <cfRule type="expression" dxfId="15" priority="55" stopIfTrue="1">
      <formula>$N$14="Yes"</formula>
    </cfRule>
  </conditionalFormatting>
  <pageMargins left="0.75" right="0.75" top="1" bottom="1" header="0.5" footer="0.5"/>
  <pageSetup scale="8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3ACC-E3E3-4E25-930D-AD750731C5C1}">
  <sheetPr codeName="Sheet1">
    <pageSetUpPr fitToPage="1"/>
  </sheetPr>
  <dimension ref="A1:O708"/>
  <sheetViews>
    <sheetView showGridLines="0" zoomScaleNormal="100" workbookViewId="0">
      <selection activeCell="F22" sqref="F22"/>
    </sheetView>
  </sheetViews>
  <sheetFormatPr defaultRowHeight="12" customHeight="1" x14ac:dyDescent="0.35"/>
  <cols>
    <col min="1" max="1" width="14" style="1" customWidth="1"/>
    <col min="2" max="6" width="12.15234375" style="1" customWidth="1"/>
    <col min="7" max="7" width="9.23046875" style="1"/>
    <col min="8" max="8" width="13.84375" style="1" customWidth="1"/>
    <col min="9" max="9" width="8.84375" style="1" customWidth="1"/>
    <col min="10" max="10" width="8.61328125" style="1" customWidth="1"/>
    <col min="11" max="12" width="9.23046875" style="1"/>
    <col min="13" max="13" width="13.84375" style="1" customWidth="1"/>
    <col min="14" max="14" width="10.3828125" style="1" customWidth="1"/>
    <col min="15" max="15" width="1" style="2" customWidth="1"/>
    <col min="16" max="16384" width="9.23046875" style="1"/>
  </cols>
  <sheetData>
    <row r="1" spans="1:15" ht="6" customHeight="1" x14ac:dyDescent="0.35"/>
    <row r="2" spans="1:15" ht="18" customHeight="1" x14ac:dyDescent="0.5">
      <c r="A2" s="3" t="s">
        <v>0</v>
      </c>
      <c r="B2" s="3"/>
      <c r="C2" s="3"/>
      <c r="D2" s="2"/>
      <c r="E2" s="4" t="str">
        <f>[1]Blank42!A12</f>
        <v>Company:</v>
      </c>
      <c r="F2" s="5" t="str">
        <f>[1]Blank42!B12</f>
        <v>Best Business, Inc.</v>
      </c>
      <c r="G2" s="2"/>
      <c r="H2" s="2"/>
      <c r="I2" s="2"/>
    </row>
    <row r="3" spans="1:15" ht="18" customHeight="1" x14ac:dyDescent="0.5">
      <c r="A3" s="3"/>
      <c r="B3" s="3"/>
      <c r="C3" s="3"/>
      <c r="D3" s="2"/>
      <c r="E3" s="4" t="str">
        <f>[1]Blank42!A11</f>
        <v>Prepared for:</v>
      </c>
      <c r="F3" s="5" t="str">
        <f>[1]Blank42!B11</f>
        <v>Mr. Client</v>
      </c>
      <c r="G3" s="2"/>
      <c r="H3" s="2"/>
      <c r="I3" s="2"/>
      <c r="J3" s="2"/>
    </row>
    <row r="4" spans="1:15" ht="15" customHeight="1" x14ac:dyDescent="0.35">
      <c r="A4" s="6"/>
      <c r="B4" s="7"/>
      <c r="C4" s="2"/>
      <c r="D4" s="2"/>
      <c r="E4" s="8" t="str">
        <f>[1]Blank42!I12</f>
        <v>Prepared by:</v>
      </c>
      <c r="F4" s="9" t="str">
        <f>[1]Blank42!J12</f>
        <v>Illinois Corporate Investments Inc.</v>
      </c>
      <c r="G4" s="2"/>
      <c r="J4" s="8" t="str">
        <f>[1]Blank42!F12</f>
        <v>Preparer:</v>
      </c>
      <c r="K4" s="10" t="str">
        <f>[1]Blank42!G12</f>
        <v>Mr. Professional</v>
      </c>
      <c r="M4" s="11"/>
    </row>
    <row r="5" spans="1:15" ht="6" customHeight="1" x14ac:dyDescent="0.4">
      <c r="B5" s="12"/>
    </row>
    <row r="6" spans="1:15" ht="12" customHeight="1" x14ac:dyDescent="0.4">
      <c r="B6" s="12"/>
      <c r="L6" s="13">
        <f ca="1">[1]Blank42!N11</f>
        <v>44412.60115613426</v>
      </c>
      <c r="M6" s="13"/>
      <c r="N6" s="4" t="s">
        <v>1</v>
      </c>
    </row>
    <row r="7" spans="1:15" ht="12" customHeight="1" x14ac:dyDescent="0.4">
      <c r="A7" s="14" t="str">
        <f>[1]Blank42!C14</f>
        <v xml:space="preserve">                             </v>
      </c>
      <c r="B7" s="15"/>
      <c r="C7" s="16"/>
      <c r="D7" s="16"/>
      <c r="E7" s="16"/>
      <c r="F7" s="16"/>
      <c r="G7" s="16"/>
      <c r="H7" s="16"/>
      <c r="I7" s="16"/>
      <c r="J7" s="16"/>
      <c r="K7" s="16"/>
      <c r="L7" s="16"/>
      <c r="M7" s="16"/>
      <c r="N7" s="17"/>
      <c r="O7" s="18"/>
    </row>
    <row r="8" spans="1:15" ht="12" customHeight="1" thickBot="1" x14ac:dyDescent="0.5">
      <c r="A8" s="19">
        <f>[1]Blank42!$E$259</f>
        <v>0</v>
      </c>
      <c r="B8" s="20"/>
      <c r="C8" s="20"/>
      <c r="D8" s="20"/>
      <c r="E8" s="20"/>
      <c r="F8" s="20"/>
      <c r="G8" s="20"/>
      <c r="H8" s="20"/>
      <c r="I8" s="20"/>
      <c r="J8" s="20"/>
      <c r="K8" s="20"/>
      <c r="L8" s="20"/>
      <c r="M8" s="20"/>
      <c r="N8" s="21"/>
      <c r="O8" s="18"/>
    </row>
    <row r="9" spans="1:15" ht="12.75" customHeight="1" thickBot="1" x14ac:dyDescent="0.45">
      <c r="A9" s="22">
        <f>[1]Blank42!$M$21</f>
        <v>0.35</v>
      </c>
      <c r="B9" s="20"/>
      <c r="C9" s="23" t="s">
        <v>2</v>
      </c>
      <c r="D9" s="24">
        <f>[1]Blank42!$E$14</f>
        <v>4.8968535306482313</v>
      </c>
      <c r="E9" s="25"/>
      <c r="F9" s="20"/>
      <c r="G9" s="26" t="s">
        <v>3</v>
      </c>
      <c r="H9" s="27">
        <f>[1]Blank42!D27</f>
        <v>3672.6401479861734</v>
      </c>
      <c r="I9" s="28" t="str">
        <f>IF(A11="No","","+ Earn-Out (EO)")</f>
        <v/>
      </c>
      <c r="J9" s="20"/>
      <c r="K9" s="20"/>
      <c r="L9" s="23" t="str">
        <f>[1]Blank42!C21</f>
        <v>Buyer Equity</v>
      </c>
      <c r="M9" s="27">
        <f>[1]Blank42!D34</f>
        <v>885.23785249390869</v>
      </c>
      <c r="N9" s="29">
        <f>[1]Blank42!D21</f>
        <v>0.24103582622417094</v>
      </c>
      <c r="O9" s="18"/>
    </row>
    <row r="10" spans="1:15" ht="12" customHeight="1" x14ac:dyDescent="0.4">
      <c r="A10" s="30">
        <f>[1]Blank42!$E$29</f>
        <v>0</v>
      </c>
      <c r="B10" s="20"/>
      <c r="C10" s="31" t="s">
        <v>4</v>
      </c>
      <c r="D10" s="32">
        <f>[1]Blank42!D16</f>
        <v>5.4409483673869232</v>
      </c>
      <c r="E10" s="33"/>
      <c r="F10" s="20"/>
      <c r="G10" s="20"/>
      <c r="H10" s="34"/>
      <c r="I10" s="20"/>
      <c r="J10" s="20"/>
      <c r="K10" s="20"/>
      <c r="L10" s="35" t="str">
        <f>[1]Blank42!C20</f>
        <v>Buyer's Actual ROE (IRR)</v>
      </c>
      <c r="M10" s="36">
        <f>[1]Blank42!D20</f>
        <v>0.34996876177992742</v>
      </c>
      <c r="N10" s="37" t="str">
        <f>IF(ABS(ExpROI-$M$10)-0.001&gt;0,"note 3","")</f>
        <v/>
      </c>
      <c r="O10" s="18"/>
    </row>
    <row r="11" spans="1:15" ht="12" customHeight="1" x14ac:dyDescent="0.35">
      <c r="A11" s="30" t="str">
        <f>[1]Blank42!$A$956</f>
        <v>No</v>
      </c>
      <c r="B11" s="20"/>
      <c r="C11" s="38" t="s">
        <v>5</v>
      </c>
      <c r="D11" s="20"/>
      <c r="E11" s="20"/>
      <c r="F11" s="39"/>
      <c r="G11" s="38" t="s">
        <v>6</v>
      </c>
      <c r="H11" s="20"/>
      <c r="I11" s="20"/>
      <c r="J11" s="20"/>
      <c r="K11" s="20"/>
      <c r="L11" s="38" t="s">
        <v>7</v>
      </c>
      <c r="M11" s="20"/>
      <c r="N11" s="20"/>
      <c r="O11" s="18"/>
    </row>
    <row r="12" spans="1:15" ht="12" customHeight="1" x14ac:dyDescent="0.35">
      <c r="A12" s="40" t="b">
        <f>[1]Blank42!$N$451</f>
        <v>0</v>
      </c>
      <c r="B12" s="20"/>
      <c r="C12" s="41" t="s">
        <v>8</v>
      </c>
      <c r="D12" s="42">
        <f>[1]Blank42!$I$19</f>
        <v>750</v>
      </c>
      <c r="E12" s="20"/>
      <c r="F12" s="20"/>
      <c r="G12" s="41" t="str">
        <f>[1]Blank42!C28</f>
        <v>Cash To Seller at Closing</v>
      </c>
      <c r="H12" s="43">
        <f>[1]Blank42!D28</f>
        <v>2451.785049534185</v>
      </c>
      <c r="I12" s="44">
        <f>H12/[1]Blank42!D$27</f>
        <v>0.66758107267290467</v>
      </c>
      <c r="J12" s="20"/>
      <c r="K12" s="20"/>
      <c r="L12" s="35" t="str">
        <f>[1]Blank42!C21</f>
        <v>Buyer Equity</v>
      </c>
      <c r="M12" s="45">
        <f>[1]Blank42!D34</f>
        <v>885.23785249390869</v>
      </c>
      <c r="N12" s="46"/>
      <c r="O12" s="18"/>
    </row>
    <row r="13" spans="1:15" ht="12" customHeight="1" x14ac:dyDescent="0.35">
      <c r="A13" s="40" t="b">
        <f>[1]Blank42!$N$453</f>
        <v>0</v>
      </c>
      <c r="B13" s="20"/>
      <c r="C13" s="41" t="str">
        <f>[1]Blank42!$F$31</f>
        <v>Net Assets @ BV</v>
      </c>
      <c r="D13" s="42">
        <f>[1]Blank42!$G$31</f>
        <v>200</v>
      </c>
      <c r="E13" s="20"/>
      <c r="F13" s="20"/>
      <c r="G13" s="47" t="str">
        <f>[1]Blank42!C29</f>
        <v>Gap(Seller) Note</v>
      </c>
      <c r="H13" s="43">
        <f>[1]Blank42!D29</f>
        <v>1220.8550984519884</v>
      </c>
      <c r="I13" s="44">
        <f>H13/[1]Blank42!D$27</f>
        <v>0.33241892732709533</v>
      </c>
      <c r="J13" s="48" t="str">
        <f>IF(SellerNote=0,"","note 3")</f>
        <v/>
      </c>
      <c r="K13" s="20"/>
      <c r="L13" s="47" t="s">
        <v>9</v>
      </c>
      <c r="M13" s="42">
        <f>[1]Blank42!C71+[1]Blank42!C72+[1]Blank42!C73</f>
        <v>1640</v>
      </c>
      <c r="N13" s="21"/>
      <c r="O13" s="18"/>
    </row>
    <row r="14" spans="1:15" ht="12" customHeight="1" x14ac:dyDescent="0.35">
      <c r="A14" s="49"/>
      <c r="B14" s="20"/>
      <c r="C14" s="41" t="str">
        <f>"Net Assets "&amp;[1]Blank42!$H$31</f>
        <v>Net Assets @ FMV</v>
      </c>
      <c r="D14" s="42">
        <f>[1]Blank42!$F$30</f>
        <v>700</v>
      </c>
      <c r="E14" s="20"/>
      <c r="F14" s="20"/>
      <c r="G14" s="41" t="str">
        <f>[1]Blank42!C30</f>
        <v>Gap(Seller) Balloon Note</v>
      </c>
      <c r="H14" s="45" t="str">
        <f>IF([1]Blank42!D30=0,FIXED(0,0,0),[1]Blank42!D30)</f>
        <v>0</v>
      </c>
      <c r="I14" s="44">
        <f>H14/[1]Blank42!D$27</f>
        <v>0</v>
      </c>
      <c r="J14" s="20"/>
      <c r="K14" s="20"/>
      <c r="L14" s="41" t="str">
        <f>[1]Blank42!$L$39</f>
        <v>Over Advance Loan</v>
      </c>
      <c r="M14" s="45" t="str">
        <f>IF([1]Blank42!C74=0,FIXED(0,0,0),[1]Blank42!C74)</f>
        <v>0</v>
      </c>
      <c r="N14" s="21"/>
      <c r="O14" s="18"/>
    </row>
    <row r="15" spans="1:15" ht="12" customHeight="1" x14ac:dyDescent="0.6">
      <c r="A15" s="49"/>
      <c r="B15" s="20"/>
      <c r="C15" s="41" t="str">
        <f>[1]Blank42!C36</f>
        <v>Goodwill</v>
      </c>
      <c r="D15" s="43">
        <f>[1]Blank42!D36</f>
        <v>2472.6401479861734</v>
      </c>
      <c r="E15" s="20"/>
      <c r="F15" s="20"/>
      <c r="G15" s="41" t="str">
        <f>[1]Blank42!C31</f>
        <v>Remaining Non-Compete</v>
      </c>
      <c r="H15" s="45" t="str">
        <f>IF([1]Blank42!D31=0,FIXED(0,0,0),[1]Blank42!D31)</f>
        <v>0</v>
      </c>
      <c r="I15" s="44">
        <f>H15/[1]Blank42!D$27</f>
        <v>0</v>
      </c>
      <c r="J15" s="20"/>
      <c r="K15" s="20"/>
      <c r="L15" s="41" t="str">
        <f>[1]Blank42!L42</f>
        <v>Mezzanine Financing</v>
      </c>
      <c r="M15" s="50" t="str">
        <f>IF([1]Blank42!C75=0,FIXED(0,0,0),[1]Blank42!C75)</f>
        <v>0</v>
      </c>
      <c r="N15" s="21"/>
      <c r="O15" s="18"/>
    </row>
    <row r="16" spans="1:15" ht="12" customHeight="1" x14ac:dyDescent="0.35">
      <c r="A16" s="49"/>
      <c r="B16" s="20"/>
      <c r="C16" s="41" t="str">
        <f>[1]Blank42!$L$23</f>
        <v>Stock vs. Asset Purchase</v>
      </c>
      <c r="D16" s="41" t="str">
        <f>IF(LEFT(AssetStock,1)="S","Stock","Asset")</f>
        <v>Asset</v>
      </c>
      <c r="E16" s="20"/>
      <c r="F16" s="20"/>
      <c r="G16" s="41" t="str">
        <f>[1]Blank42!C32</f>
        <v>Personal Goodwill</v>
      </c>
      <c r="H16" s="45" t="str">
        <f>IF([1]Blank42!D32=0,FIXED(0,0,0),[1]Blank42!D32)</f>
        <v>0</v>
      </c>
      <c r="I16" s="44">
        <f>H16/[1]Blank42!D$27</f>
        <v>0</v>
      </c>
      <c r="J16" s="20"/>
      <c r="K16" s="20"/>
      <c r="L16" s="41" t="s">
        <v>10</v>
      </c>
      <c r="M16" s="43">
        <f>SUM(M12:M15)</f>
        <v>2525.2378524939086</v>
      </c>
      <c r="N16" s="21"/>
      <c r="O16" s="18"/>
    </row>
    <row r="17" spans="1:15" ht="12" customHeight="1" x14ac:dyDescent="0.6">
      <c r="A17" s="49"/>
      <c r="B17" s="20"/>
      <c r="C17" s="38" t="str">
        <f>IF(A12,"Mezzanine","")</f>
        <v/>
      </c>
      <c r="D17" s="20"/>
      <c r="E17" s="20"/>
      <c r="F17" s="20"/>
      <c r="G17" s="41" t="str">
        <f>[1]Blank42!C33</f>
        <v>Remaining Consulting</v>
      </c>
      <c r="H17" s="50" t="str">
        <f>IF([1]Blank42!D33=0,FIXED(0,0,0),[1]Blank42!D33)</f>
        <v>0</v>
      </c>
      <c r="I17" s="51">
        <f>H17/[1]Blank42!D$27</f>
        <v>0</v>
      </c>
      <c r="J17" s="20"/>
      <c r="K17" s="20"/>
      <c r="L17" s="41" t="s">
        <v>11</v>
      </c>
      <c r="M17" s="42">
        <f>IF([1]Blank42!E285=0,FIXED(0,0,0),-[1]Blank42!E285)</f>
        <v>-73.452802959723471</v>
      </c>
      <c r="N17" s="21"/>
      <c r="O17" s="18"/>
    </row>
    <row r="18" spans="1:15" ht="12.75" customHeight="1" x14ac:dyDescent="0.6">
      <c r="A18" s="49"/>
      <c r="B18" s="20"/>
      <c r="C18" s="41" t="str">
        <f>IF(A12,[1]Blank42!C37,"")</f>
        <v/>
      </c>
      <c r="D18" s="52" t="str">
        <f>IF(A12,[1]Blank42!$D$37,"")</f>
        <v/>
      </c>
      <c r="E18" s="48" t="str">
        <f>IF(D18="","",IF(ROUND(D18,2)-ExpMezzROI&lt;&gt;0,"note 4",""))</f>
        <v/>
      </c>
      <c r="F18" s="20"/>
      <c r="G18" s="53" t="s">
        <v>12</v>
      </c>
      <c r="H18" s="54">
        <f>SUM(H12:H17)</f>
        <v>3672.6401479861734</v>
      </c>
      <c r="I18" s="55">
        <f>H18/[1]Blank42!D$27</f>
        <v>1</v>
      </c>
      <c r="J18" s="56"/>
      <c r="K18" s="56"/>
      <c r="L18" s="41" t="s">
        <v>13</v>
      </c>
      <c r="M18" s="50" t="str">
        <f>IF([1]Blank42!K72=0,FIXED(0,0,0),-[1]Blank42!K72)</f>
        <v>0</v>
      </c>
      <c r="N18" s="20"/>
      <c r="O18" s="18"/>
    </row>
    <row r="19" spans="1:15" ht="12" customHeight="1" x14ac:dyDescent="0.6">
      <c r="A19" s="49"/>
      <c r="B19" s="20"/>
      <c r="C19" s="41" t="str">
        <f>IF(A12,"Mezzanine Warrants","")</f>
        <v/>
      </c>
      <c r="D19" s="57" t="str">
        <f>IF(A12,[1]Blank42!$D$44,"")</f>
        <v/>
      </c>
      <c r="E19" s="20"/>
      <c r="F19" s="20"/>
      <c r="G19" s="56"/>
      <c r="H19" s="58" t="str">
        <f>IF(A11="No","",IF([1]Blank42!J980=0,FIXED(0,0,0),[1]Blank42!J980))</f>
        <v/>
      </c>
      <c r="I19" s="59" t="str">
        <f>IF(A11="No","","Earn-out (EO)")</f>
        <v/>
      </c>
      <c r="J19" s="56"/>
      <c r="K19" s="56"/>
      <c r="L19" s="31" t="s">
        <v>7</v>
      </c>
      <c r="M19" s="60">
        <f>M16+M17+M18</f>
        <v>2451.785049534185</v>
      </c>
      <c r="N19" s="61"/>
      <c r="O19" s="18"/>
    </row>
    <row r="20" spans="1:15" ht="12" customHeight="1" x14ac:dyDescent="0.45">
      <c r="A20" s="49"/>
      <c r="B20" s="20"/>
      <c r="C20" s="41"/>
      <c r="D20" s="57"/>
      <c r="E20" s="20"/>
      <c r="F20" s="20"/>
      <c r="G20" s="56"/>
      <c r="H20" s="62" t="str">
        <f>IF(A11="No","",H18+H19)</f>
        <v/>
      </c>
      <c r="I20" s="59" t="str">
        <f>IF(A11="No","","Total Value (EV+EO)")</f>
        <v/>
      </c>
      <c r="J20" s="56"/>
      <c r="K20" s="56"/>
      <c r="L20" s="31"/>
      <c r="M20" s="63"/>
      <c r="N20" s="61"/>
      <c r="O20" s="18"/>
    </row>
    <row r="21" spans="1:15" ht="12" customHeight="1" x14ac:dyDescent="0.35">
      <c r="A21" s="64"/>
      <c r="B21" s="65" t="str">
        <f>[1]Blank42!B22</f>
        <v>Year1</v>
      </c>
      <c r="C21" s="65" t="str">
        <f>[1]Blank42!C22</f>
        <v>Year2</v>
      </c>
      <c r="D21" s="66" t="str">
        <f>[1]Blank42!D22</f>
        <v>Year3</v>
      </c>
      <c r="E21" s="65" t="s">
        <v>14</v>
      </c>
      <c r="F21" s="65" t="s">
        <v>15</v>
      </c>
      <c r="G21" s="20"/>
      <c r="H21" s="20"/>
      <c r="I21" s="67"/>
      <c r="J21" s="20"/>
      <c r="K21" s="20"/>
      <c r="L21" s="41" t="str">
        <f>IF(A13,[1]Blank42!C39,"")</f>
        <v/>
      </c>
      <c r="M21" s="68" t="str">
        <f>IF(A13,IF([1]Blank42!D39=0,FIXED(0,0,0),[1]Blank42!D39),"")</f>
        <v/>
      </c>
      <c r="N21" s="21"/>
      <c r="O21" s="18"/>
    </row>
    <row r="22" spans="1:15" ht="12" customHeight="1" x14ac:dyDescent="0.35">
      <c r="A22" s="69" t="str">
        <f>[1]Blank42!A23</f>
        <v>BVX Cash Flow</v>
      </c>
      <c r="B22" s="68">
        <f>IF([1]Blank42!B23=0,FIXED(0,0,0),[1]Blank42!B23)</f>
        <v>-5.68308023225228E-2</v>
      </c>
      <c r="C22" s="68" t="str">
        <f>IF([1]Blank42!C23=0,FIXED(0,0,0),[1]Blank42!C23)</f>
        <v>0</v>
      </c>
      <c r="D22" s="68">
        <f>IF([1]Blank42!D23=0,FIXED(0,0,0),[1]Blank42!D23)</f>
        <v>24.188243309805586</v>
      </c>
      <c r="E22" s="68">
        <f>IF([1]Blank42!E23=0,FIXED(0,0,0),[1]Blank42!E23)</f>
        <v>62.125964236730056</v>
      </c>
      <c r="F22" s="68">
        <f>IF([1]Blank42!E24=0,FIXED(0,0,0),[1]Blank42!E24)</f>
        <v>103.60950861261662</v>
      </c>
      <c r="G22" s="67"/>
      <c r="H22" s="20"/>
      <c r="I22" s="20"/>
      <c r="J22" s="20"/>
      <c r="K22" s="20"/>
      <c r="L22" s="41" t="str">
        <f>IF(A13,[1]Blank42!C40,"")</f>
        <v/>
      </c>
      <c r="M22" s="68" t="str">
        <f>IF(A13,IF([1]Blank42!D40=0,FIXED(0,0,0),[1]Blank42!D40),"")</f>
        <v/>
      </c>
      <c r="N22" s="21"/>
      <c r="O22" s="18"/>
    </row>
    <row r="23" spans="1:15" ht="12" customHeight="1" x14ac:dyDescent="0.35">
      <c r="A23" s="69" t="str">
        <f>[1]Blank42!A24</f>
        <v>Add'l Revolver</v>
      </c>
      <c r="B23" s="68">
        <f>IF([1]Blank42!B24=0,FIXED(0,0,0),[1]Blank42!B24)</f>
        <v>42</v>
      </c>
      <c r="C23" s="68">
        <f>IF([1]Blank42!C24=0,FIXED(0,0,0),[1]Blank42!C24)</f>
        <v>10.458874331341391</v>
      </c>
      <c r="D23" s="68" t="str">
        <f>IF([1]Blank42!D24=0,FIXED(0,0,0),[1]Blank42!D24)</f>
        <v>0</v>
      </c>
      <c r="E23" s="68" t="str">
        <f>IF([1]Blank42!E25=0,FIXED(0,0,0),[1]Blank42!E25)</f>
        <v>0</v>
      </c>
      <c r="F23" s="68" t="str">
        <f>IF([1]Blank42!E26=0,FIXED(0,0,0),[1]Blank42!E26)</f>
        <v>0</v>
      </c>
      <c r="G23" s="67"/>
      <c r="H23" s="20"/>
      <c r="I23" s="20"/>
      <c r="J23" s="20"/>
      <c r="K23" s="67"/>
      <c r="L23" s="41" t="str">
        <f>IF(A13,[1]Blank42!C41,"")</f>
        <v/>
      </c>
      <c r="M23" s="68" t="str">
        <f>IF(A13,IF([1]Blank42!D41=0,FIXED(0,0,0),[1]Blank42!D41),"")</f>
        <v/>
      </c>
      <c r="N23" s="21"/>
      <c r="O23" s="18"/>
    </row>
    <row r="24" spans="1:15" ht="12" customHeight="1" x14ac:dyDescent="0.35">
      <c r="A24" s="69" t="str">
        <f>[1]Blank42!A25</f>
        <v>Taxable Income</v>
      </c>
      <c r="B24" s="45">
        <f>[1]Blank42!B25</f>
        <v>100.2250030304449</v>
      </c>
      <c r="C24" s="45">
        <f>[1]Blank42!C25</f>
        <v>154.25929249948467</v>
      </c>
      <c r="D24" s="45">
        <f>[1]Blank42!D25</f>
        <v>213.51980391039024</v>
      </c>
      <c r="E24" s="45">
        <f>[1]Blank42!E27</f>
        <v>278.4207419291605</v>
      </c>
      <c r="F24" s="45">
        <f>[1]Blank42!E28</f>
        <v>349.39995262656089</v>
      </c>
      <c r="G24" s="70" t="str">
        <f>IF(A11="No","","Total Earn-Out")</f>
        <v/>
      </c>
      <c r="H24" s="20"/>
      <c r="I24" s="20"/>
      <c r="J24" s="20"/>
      <c r="K24" s="67"/>
      <c r="L24" s="41" t="str">
        <f>IF(A13,[1]Blank42!C42,"")</f>
        <v/>
      </c>
      <c r="M24" s="57" t="str">
        <f>IF(A13,[1]Blank42!D42,"")</f>
        <v/>
      </c>
      <c r="N24" s="21"/>
      <c r="O24" s="18"/>
    </row>
    <row r="25" spans="1:15" ht="12" customHeight="1" x14ac:dyDescent="0.35">
      <c r="A25" s="69" t="str">
        <f>IF(A11="No","","Earn-Out (EO)")</f>
        <v/>
      </c>
      <c r="B25" s="45" t="str">
        <f>IF(A11="no","",IF([1]Blank42!F979=0,FIXED(0,0,0),[1]Blank42!F979))</f>
        <v/>
      </c>
      <c r="C25" s="45" t="str">
        <f>IF(A11="no","",IF([1]Blank42!G979=0,FIXED(0,0,0),[1]Blank42!G979))</f>
        <v/>
      </c>
      <c r="D25" s="45" t="str">
        <f>IF(A11="no","",IF([1]Blank42!H979=0,FIXED(0,0,0),[1]Blank42!H979))</f>
        <v/>
      </c>
      <c r="E25" s="45" t="str">
        <f>IF(A11="no","",IF([1]Blank42!I979=0,FIXED(0,0,0),[1]Blank42!I979))</f>
        <v/>
      </c>
      <c r="F25" s="45" t="str">
        <f>IF(A11="no","",IF([1]Blank42!J979=0,FIXED(0,0,0),[1]Blank42!J979))</f>
        <v/>
      </c>
      <c r="G25" s="71" t="str">
        <f>IF(A11="no","",IF(SUM(B25:F25)=0,FIXED(0,0,0),SUM(B25:F25)))</f>
        <v/>
      </c>
      <c r="H25" s="20"/>
      <c r="I25" s="20"/>
      <c r="J25" s="20"/>
      <c r="K25" s="20"/>
      <c r="L25" s="72"/>
      <c r="M25" s="73"/>
      <c r="N25" s="21"/>
      <c r="O25" s="18"/>
    </row>
    <row r="26" spans="1:15" ht="12" customHeight="1" x14ac:dyDescent="0.35">
      <c r="A26" s="49"/>
      <c r="B26" s="20"/>
      <c r="C26" s="39" t="s">
        <v>16</v>
      </c>
      <c r="D26" s="67"/>
      <c r="E26" s="67"/>
      <c r="F26" s="67"/>
      <c r="G26" s="67"/>
      <c r="H26" s="67"/>
      <c r="I26" s="67"/>
      <c r="J26" s="67"/>
      <c r="K26" s="67"/>
      <c r="L26" s="41"/>
      <c r="M26" s="74"/>
      <c r="N26" s="46"/>
      <c r="O26" s="18"/>
    </row>
    <row r="27" spans="1:15" ht="12.75" customHeight="1" x14ac:dyDescent="0.35">
      <c r="A27" s="49"/>
      <c r="B27" s="20"/>
      <c r="C27" s="75" t="str">
        <f>[1]Blank42!$A$920</f>
        <v>1. Output: Special Error: BVX® has encountered difficulties trying find an optimal solution. Please, refer to User Manual.</v>
      </c>
      <c r="D27" s="75"/>
      <c r="E27" s="75"/>
      <c r="F27" s="75"/>
      <c r="G27" s="75"/>
      <c r="H27" s="75"/>
      <c r="I27" s="75"/>
      <c r="J27" s="75"/>
      <c r="K27" s="75"/>
      <c r="L27" s="75"/>
      <c r="M27" s="75"/>
      <c r="N27" s="76"/>
      <c r="O27" s="18"/>
    </row>
    <row r="28" spans="1:15" ht="15" customHeight="1" x14ac:dyDescent="0.35">
      <c r="A28" s="49"/>
      <c r="B28" s="20"/>
      <c r="C28" s="75"/>
      <c r="D28" s="75"/>
      <c r="E28" s="75"/>
      <c r="F28" s="75"/>
      <c r="G28" s="75"/>
      <c r="H28" s="75"/>
      <c r="I28" s="75"/>
      <c r="J28" s="75"/>
      <c r="K28" s="75"/>
      <c r="L28" s="75"/>
      <c r="M28" s="75"/>
      <c r="N28" s="76"/>
      <c r="O28" s="18"/>
    </row>
    <row r="29" spans="1:15" ht="12.75" customHeight="1" x14ac:dyDescent="0.35">
      <c r="A29" s="49"/>
      <c r="B29" s="20"/>
      <c r="C29" s="75" t="s">
        <v>17</v>
      </c>
      <c r="D29" s="75"/>
      <c r="E29" s="75"/>
      <c r="F29" s="75"/>
      <c r="G29" s="75"/>
      <c r="H29" s="75"/>
      <c r="I29" s="75"/>
      <c r="J29" s="75"/>
      <c r="K29" s="75"/>
      <c r="L29" s="75"/>
      <c r="M29" s="75"/>
      <c r="N29" s="46"/>
      <c r="O29" s="18"/>
    </row>
    <row r="30" spans="1:15" ht="12.75" customHeight="1" x14ac:dyDescent="0.35">
      <c r="A30" s="49"/>
      <c r="B30" s="20"/>
      <c r="C30" s="75"/>
      <c r="D30" s="75"/>
      <c r="E30" s="75"/>
      <c r="F30" s="75"/>
      <c r="G30" s="75"/>
      <c r="H30" s="75"/>
      <c r="I30" s="75"/>
      <c r="J30" s="75"/>
      <c r="K30" s="75"/>
      <c r="L30" s="75"/>
      <c r="M30" s="75"/>
      <c r="N30" s="46"/>
      <c r="O30" s="18"/>
    </row>
    <row r="31" spans="1:15" ht="12.75" customHeight="1" x14ac:dyDescent="0.35">
      <c r="A31" s="49"/>
      <c r="B31" s="20"/>
      <c r="C31" s="67" t="str">
        <f>IF(OR(N10&lt;&gt;"",J13&lt;&gt;""),"3. Actual values are different than expected i.e. input values for ROE and/or Gap (Seller) Note",IF(AND(E18="",A13=FALSE),"","3. n/a"))</f>
        <v/>
      </c>
      <c r="D31" s="20"/>
      <c r="E31" s="20"/>
      <c r="F31" s="20"/>
      <c r="G31" s="20"/>
      <c r="H31" s="20"/>
      <c r="I31" s="20"/>
      <c r="J31" s="20"/>
      <c r="K31" s="20"/>
      <c r="L31" s="20"/>
      <c r="M31" s="20"/>
      <c r="N31" s="21"/>
      <c r="O31" s="18"/>
    </row>
    <row r="32" spans="1:15" ht="12" customHeight="1" x14ac:dyDescent="0.35">
      <c r="A32" s="49"/>
      <c r="B32" s="20"/>
      <c r="C32" s="67" t="str">
        <f>IF(E18&lt;&gt;"","4. Actual Mezzanine ROI is less than the expected mezzanine ROI.",IF(A13=FALSE,"","4. n/a"))</f>
        <v/>
      </c>
      <c r="D32" s="20"/>
      <c r="E32" s="20"/>
      <c r="F32" s="20"/>
      <c r="G32" s="20"/>
      <c r="H32" s="20"/>
      <c r="I32" s="20"/>
      <c r="J32" s="20"/>
      <c r="K32" s="20"/>
      <c r="L32" s="20"/>
      <c r="M32" s="20"/>
      <c r="N32" s="21"/>
      <c r="O32" s="18"/>
    </row>
    <row r="33" spans="1:15" ht="12" customHeight="1" x14ac:dyDescent="0.35">
      <c r="A33" s="49"/>
      <c r="B33" s="20"/>
      <c r="C33" s="67" t="str">
        <f>IF(A13,"5. Business Value and BVX Cash Flow exclude Real Estate Price and Real Estate Cash Flow.","")</f>
        <v/>
      </c>
      <c r="D33" s="20"/>
      <c r="E33" s="20"/>
      <c r="F33" s="20"/>
      <c r="G33" s="20"/>
      <c r="H33" s="20"/>
      <c r="I33" s="20"/>
      <c r="J33" s="20"/>
      <c r="K33" s="20"/>
      <c r="L33" s="20"/>
      <c r="M33" s="20"/>
      <c r="N33" s="21"/>
      <c r="O33" s="18"/>
    </row>
    <row r="34" spans="1:15" ht="12" customHeight="1" x14ac:dyDescent="0.35">
      <c r="A34" s="77" t="str">
        <f ca="1">ROUND(A44,0)&amp;[1]Blank42!A10</f>
        <v>8164154</v>
      </c>
      <c r="B34" s="78" t="str">
        <f>[1]Blank42!$A$9</f>
        <v>BVX®</v>
      </c>
      <c r="C34" s="79"/>
      <c r="D34" s="80"/>
      <c r="E34" s="79"/>
      <c r="F34" s="79"/>
      <c r="G34" s="79"/>
      <c r="H34" s="79"/>
      <c r="I34" s="79"/>
      <c r="J34" s="79"/>
      <c r="K34" s="79"/>
      <c r="L34" s="81"/>
      <c r="M34" s="79"/>
      <c r="N34" s="82"/>
      <c r="O34" s="18"/>
    </row>
    <row r="36" spans="1:15" ht="3" customHeight="1" x14ac:dyDescent="0.35"/>
    <row r="40" spans="1:15" ht="12" customHeight="1" x14ac:dyDescent="0.4">
      <c r="B40" s="83"/>
    </row>
    <row r="44" spans="1:15" ht="12" customHeight="1" x14ac:dyDescent="0.35">
      <c r="A44" s="84">
        <f ca="1">[1]Blank42!$L$133*1000000</f>
        <v>816414.83860721253</v>
      </c>
    </row>
    <row r="45" spans="1:15" ht="12" customHeight="1" x14ac:dyDescent="0.45">
      <c r="B45" s="85"/>
    </row>
    <row r="46" spans="1:15" ht="12" customHeight="1" x14ac:dyDescent="0.45">
      <c r="B46" s="85"/>
    </row>
    <row r="47" spans="1:15" ht="12" customHeight="1" x14ac:dyDescent="0.35">
      <c r="B47" s="86"/>
    </row>
    <row r="48" spans="1:15" ht="12" customHeight="1" x14ac:dyDescent="0.35">
      <c r="A48" s="1" t="s">
        <v>18</v>
      </c>
      <c r="B48" s="87" t="str">
        <f>[1]Blank42!$A$956</f>
        <v>No</v>
      </c>
    </row>
    <row r="49" spans="12:13" ht="12" customHeight="1" x14ac:dyDescent="0.35">
      <c r="L49" s="88"/>
      <c r="M49" s="88"/>
    </row>
    <row r="50" spans="12:13" ht="12" customHeight="1" x14ac:dyDescent="0.35">
      <c r="L50" s="88"/>
      <c r="M50" s="88"/>
    </row>
    <row r="51" spans="12:13" ht="12" customHeight="1" x14ac:dyDescent="0.35">
      <c r="L51" s="88"/>
      <c r="M51" s="88"/>
    </row>
    <row r="52" spans="12:13" ht="12" customHeight="1" x14ac:dyDescent="0.35">
      <c r="L52" s="88"/>
      <c r="M52" s="88"/>
    </row>
    <row r="53" spans="12:13" ht="12" customHeight="1" x14ac:dyDescent="0.35">
      <c r="L53" s="88"/>
      <c r="M53" s="88"/>
    </row>
    <row r="708" spans="14:14" ht="12" customHeight="1" x14ac:dyDescent="0.35">
      <c r="N708" s="1">
        <v>0</v>
      </c>
    </row>
  </sheetData>
  <mergeCells count="4">
    <mergeCell ref="A2:C3"/>
    <mergeCell ref="L6:M6"/>
    <mergeCell ref="C27:N28"/>
    <mergeCell ref="C29:M30"/>
  </mergeCells>
  <conditionalFormatting sqref="B22">
    <cfRule type="expression" dxfId="82" priority="1" stopIfTrue="1">
      <formula>$B22&lt;-0.005*$D12</formula>
    </cfRule>
  </conditionalFormatting>
  <conditionalFormatting sqref="D18">
    <cfRule type="expression" dxfId="81" priority="2" stopIfTrue="1">
      <formula>ROUND($D$18,2)-$A$8&lt;&gt;0</formula>
    </cfRule>
  </conditionalFormatting>
  <conditionalFormatting sqref="D15">
    <cfRule type="cellIs" dxfId="80" priority="3" stopIfTrue="1" operator="lessThanOrEqual">
      <formula>0</formula>
    </cfRule>
  </conditionalFormatting>
  <conditionalFormatting sqref="B24:F24">
    <cfRule type="cellIs" dxfId="79" priority="4" stopIfTrue="1" operator="lessThanOrEqual">
      <formula>-0.1</formula>
    </cfRule>
  </conditionalFormatting>
  <conditionalFormatting sqref="M24">
    <cfRule type="cellIs" dxfId="78" priority="5" stopIfTrue="1" operator="lessThan">
      <formula>0</formula>
    </cfRule>
  </conditionalFormatting>
  <conditionalFormatting sqref="H13">
    <cfRule type="expression" dxfId="77" priority="6" stopIfTrue="1">
      <formula>$A$10=1</formula>
    </cfRule>
    <cfRule type="expression" dxfId="76" priority="7" stopIfTrue="1">
      <formula>$A$10=2</formula>
    </cfRule>
  </conditionalFormatting>
  <conditionalFormatting sqref="M10">
    <cfRule type="expression" dxfId="75" priority="8" stopIfTrue="1">
      <formula>ABS($A$9-$M$10)-0.001&gt;0</formula>
    </cfRule>
  </conditionalFormatting>
  <conditionalFormatting sqref="D19">
    <cfRule type="expression" dxfId="74" priority="9" stopIfTrue="1">
      <formula>$A$12=TRUE</formula>
    </cfRule>
  </conditionalFormatting>
  <conditionalFormatting sqref="C22">
    <cfRule type="expression" dxfId="73" priority="10" stopIfTrue="1">
      <formula>$C22&lt;-0.005*$D12</formula>
    </cfRule>
  </conditionalFormatting>
  <conditionalFormatting sqref="D22">
    <cfRule type="expression" dxfId="72" priority="11" stopIfTrue="1">
      <formula>$D22&lt;-0.005*$D12</formula>
    </cfRule>
  </conditionalFormatting>
  <conditionalFormatting sqref="E22">
    <cfRule type="expression" dxfId="71" priority="12" stopIfTrue="1">
      <formula>$E22&lt;-0.005*$D12</formula>
    </cfRule>
  </conditionalFormatting>
  <conditionalFormatting sqref="F22">
    <cfRule type="expression" dxfId="70" priority="13" stopIfTrue="1">
      <formula>$F22&lt;-0.005*$D12</formula>
    </cfRule>
  </conditionalFormatting>
  <pageMargins left="0.75" right="0.75" top="1" bottom="1" header="0.5" footer="0.5"/>
  <pageSetup scale="8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CD97-0B85-46BC-B640-1AD4F6A96E60}">
  <sheetPr codeName="Sheet11">
    <pageSetUpPr fitToPage="1"/>
  </sheetPr>
  <dimension ref="A1:N34"/>
  <sheetViews>
    <sheetView showGridLines="0" tabSelected="1" workbookViewId="0"/>
  </sheetViews>
  <sheetFormatPr defaultRowHeight="12.75" x14ac:dyDescent="0.35"/>
  <cols>
    <col min="1" max="1" width="12.69140625" style="1" customWidth="1"/>
    <col min="2" max="2" width="11" style="1" customWidth="1"/>
    <col min="3" max="3" width="9.23046875" style="1"/>
    <col min="4" max="4" width="10.765625" style="1" customWidth="1"/>
    <col min="5" max="5" width="12.15234375" style="1" customWidth="1"/>
    <col min="6" max="6" width="12.69140625" style="1" bestFit="1" customWidth="1"/>
    <col min="7" max="9" width="10.765625" style="1" customWidth="1"/>
    <col min="10" max="10" width="11.921875" style="1" customWidth="1"/>
    <col min="11" max="11" width="11.3828125" style="1" customWidth="1"/>
    <col min="12" max="12" width="14.4609375" style="1" bestFit="1" customWidth="1"/>
    <col min="13" max="16384" width="9.23046875" style="1"/>
  </cols>
  <sheetData>
    <row r="1" spans="1:14" ht="6" customHeight="1" x14ac:dyDescent="0.35"/>
    <row r="2" spans="1:14" ht="17.649999999999999" x14ac:dyDescent="0.5">
      <c r="A2" s="4" t="str">
        <f>[1]Blank42!A1004</f>
        <v>Company:</v>
      </c>
      <c r="B2" s="238" t="str">
        <f>[1]Blank42!B1004</f>
        <v>Best Business, Inc.</v>
      </c>
      <c r="F2" s="297" t="str">
        <f>[1]Blank42!F1003</f>
        <v>Seller's Cash Flow</v>
      </c>
    </row>
    <row r="3" spans="1:14" ht="15" customHeight="1" x14ac:dyDescent="0.35">
      <c r="A3" s="4" t="str">
        <f>[1]Blank42!A1003</f>
        <v>Prepared for:</v>
      </c>
      <c r="B3" s="245" t="str">
        <f>[1]Blank42!B1003</f>
        <v>Mr. Client</v>
      </c>
      <c r="D3" s="441"/>
      <c r="E3" s="4" t="str">
        <f>[1]Blank42!H1004</f>
        <v>Prepared by:</v>
      </c>
      <c r="F3" s="243" t="str">
        <f>[1]Blank42!I1004</f>
        <v>Illinois Corporate Investments Inc.</v>
      </c>
      <c r="G3" s="245"/>
      <c r="H3" s="245"/>
      <c r="I3" s="245"/>
      <c r="J3" s="4" t="str">
        <f>[1]Blank42!E1004</f>
        <v>Preparer:</v>
      </c>
      <c r="K3" s="243" t="str">
        <f>[1]Blank42!F1004</f>
        <v>Mr. Professional</v>
      </c>
    </row>
    <row r="4" spans="1:14" ht="6" customHeight="1" x14ac:dyDescent="0.35">
      <c r="D4" s="441"/>
    </row>
    <row r="5" spans="1:14" ht="12" customHeight="1" x14ac:dyDescent="0.35">
      <c r="L5" s="248">
        <f ca="1">[1]Blank42!K1003</f>
        <v>44412.60115613426</v>
      </c>
      <c r="M5" s="248"/>
      <c r="N5" s="4" t="s">
        <v>103</v>
      </c>
    </row>
    <row r="6" spans="1:14" ht="12" customHeight="1" x14ac:dyDescent="0.4">
      <c r="A6" s="397"/>
      <c r="B6" s="397"/>
      <c r="C6" s="397"/>
      <c r="D6" s="397"/>
      <c r="E6" s="140" t="str">
        <f>[1]Blank42!E1006</f>
        <v>Year0</v>
      </c>
      <c r="F6" s="140" t="str">
        <f>[1]Blank42!F1006</f>
        <v>Year1</v>
      </c>
      <c r="G6" s="140" t="str">
        <f>[1]Blank42!G1006</f>
        <v>Year2</v>
      </c>
      <c r="H6" s="140" t="str">
        <f>[1]Blank42!H1006</f>
        <v>Year3</v>
      </c>
      <c r="I6" s="140" t="str">
        <f>[1]Blank42!I1006</f>
        <v>Year4</v>
      </c>
      <c r="J6" s="140" t="str">
        <f>[1]Blank42!J1006</f>
        <v>Year5</v>
      </c>
      <c r="K6" s="397"/>
      <c r="L6" s="299"/>
      <c r="M6" s="299"/>
      <c r="N6" s="299"/>
    </row>
    <row r="7" spans="1:14" ht="12" customHeight="1" x14ac:dyDescent="0.35">
      <c r="A7" s="20"/>
      <c r="B7" s="20"/>
      <c r="C7" s="20"/>
      <c r="D7" s="20"/>
      <c r="E7" s="20"/>
      <c r="F7" s="20"/>
      <c r="G7" s="20"/>
      <c r="H7" s="20"/>
      <c r="I7" s="20"/>
      <c r="J7" s="20"/>
      <c r="K7" s="454"/>
      <c r="L7" s="354" t="str">
        <f>[1]Blank42!L1009</f>
        <v>Seller CF: Yes/No</v>
      </c>
      <c r="M7" s="20"/>
      <c r="N7" s="20"/>
    </row>
    <row r="8" spans="1:14" ht="12" customHeight="1" x14ac:dyDescent="0.35">
      <c r="A8" s="20"/>
      <c r="B8" s="20"/>
      <c r="C8" s="20"/>
      <c r="D8" s="41" t="str">
        <f>[1]Blank42!D1010</f>
        <v>Cash Received at Closing</v>
      </c>
      <c r="E8" s="45">
        <f>IF([1]Blank42!E1010=0,FIXED(0,0,0),[1]Blank42!E1010)</f>
        <v>2451.785049534185</v>
      </c>
      <c r="F8" s="45"/>
      <c r="G8" s="45"/>
      <c r="H8" s="45"/>
      <c r="I8" s="45"/>
      <c r="J8" s="45"/>
      <c r="K8" s="45"/>
      <c r="L8" s="352" t="str">
        <f>[1]Blank42!L1010</f>
        <v>Y</v>
      </c>
      <c r="M8" s="20"/>
      <c r="N8" s="20"/>
    </row>
    <row r="9" spans="1:14" ht="12" customHeight="1" x14ac:dyDescent="0.35">
      <c r="A9" s="20"/>
      <c r="B9" s="20"/>
      <c r="C9" s="20"/>
      <c r="D9" s="41" t="str">
        <f>[1]Blank42!D1011</f>
        <v>Gap(Seller) Note Payment</v>
      </c>
      <c r="E9" s="45"/>
      <c r="F9" s="45">
        <f>IF([1]Blank42!F1011=0,FIXED(0,0,0),[1]Blank42!F1011)</f>
        <v>244.17101969039769</v>
      </c>
      <c r="G9" s="45">
        <f>IF([1]Blank42!G1011=0,FIXED(0,0,0),[1]Blank42!G1011)</f>
        <v>244.17101969039769</v>
      </c>
      <c r="H9" s="45">
        <f>IF([1]Blank42!H1011=0,FIXED(0,0,0),[1]Blank42!H1011)</f>
        <v>244.17101969039769</v>
      </c>
      <c r="I9" s="45">
        <f>IF([1]Blank42!I1011=0,FIXED(0,0,0),[1]Blank42!I1011)</f>
        <v>244.17101969039769</v>
      </c>
      <c r="J9" s="45">
        <f>IF([1]Blank42!J1011=0,FIXED(0,0,0),[1]Blank42!J1011)</f>
        <v>244.17101969039774</v>
      </c>
      <c r="K9" s="45"/>
      <c r="L9" s="455" t="str">
        <f>[1]Blank42!L1011</f>
        <v>Y</v>
      </c>
      <c r="M9" s="20"/>
      <c r="N9" s="20"/>
    </row>
    <row r="10" spans="1:14" ht="12" customHeight="1" x14ac:dyDescent="0.35">
      <c r="A10" s="20"/>
      <c r="B10" s="20"/>
      <c r="C10" s="20"/>
      <c r="D10" s="41" t="str">
        <f>[1]Blank42!D1012</f>
        <v>Add'l Gap(Seller) Note Paydown</v>
      </c>
      <c r="E10" s="45"/>
      <c r="F10" s="45" t="str">
        <f>IF([1]Blank42!F1012=0,FIXED(0,0,0),[1]Blank42!F1012)</f>
        <v>0</v>
      </c>
      <c r="G10" s="45" t="str">
        <f>IF([1]Blank42!G1012=0,FIXED(0,0,0),[1]Blank42!G1012)</f>
        <v>0</v>
      </c>
      <c r="H10" s="45" t="str">
        <f>IF([1]Blank42!H1012=0,FIXED(0,0,0),[1]Blank42!H1012)</f>
        <v>0</v>
      </c>
      <c r="I10" s="45" t="str">
        <f>IF([1]Blank42!I1012=0,FIXED(0,0,0),[1]Blank42!I1012)</f>
        <v>0</v>
      </c>
      <c r="J10" s="45" t="str">
        <f>IF([1]Blank42!J1012=0,FIXED(0,0,0),[1]Blank42!J1012)</f>
        <v>0</v>
      </c>
      <c r="K10" s="45"/>
      <c r="L10" s="352" t="str">
        <f>[1]Blank42!L1012</f>
        <v>Y</v>
      </c>
      <c r="M10" s="20"/>
      <c r="N10" s="20"/>
    </row>
    <row r="11" spans="1:14" ht="12" customHeight="1" x14ac:dyDescent="0.35">
      <c r="A11" s="20"/>
      <c r="B11" s="20"/>
      <c r="C11" s="20"/>
      <c r="D11" s="376" t="str">
        <f>[1]Blank42!D1013</f>
        <v>Interest Exp-Gap(Seller) Note</v>
      </c>
      <c r="E11" s="45"/>
      <c r="F11" s="45">
        <f>IF([1]Blank42!F1013=0,FIXED(0,0,0),[1]Blank42!F1013)</f>
        <v>122.08550984519884</v>
      </c>
      <c r="G11" s="45">
        <f>IF([1]Blank42!G1013=0,FIXED(0,0,0),[1]Blank42!G1013)</f>
        <v>97.66840787615908</v>
      </c>
      <c r="H11" s="45">
        <f>IF([1]Blank42!H1013=0,FIXED(0,0,0),[1]Blank42!H1013)</f>
        <v>73.251305907119317</v>
      </c>
      <c r="I11" s="45">
        <f>IF([1]Blank42!I1013=0,FIXED(0,0,0),[1]Blank42!I1013)</f>
        <v>48.834203938079547</v>
      </c>
      <c r="J11" s="45">
        <f>IF([1]Blank42!J1013=0,FIXED(0,0,0),[1]Blank42!J1013)</f>
        <v>24.417101969039777</v>
      </c>
      <c r="K11" s="45"/>
      <c r="L11" s="352" t="str">
        <f>[1]Blank42!L1013</f>
        <v>Y</v>
      </c>
      <c r="M11" s="20"/>
      <c r="N11" s="20"/>
    </row>
    <row r="12" spans="1:14" ht="12" customHeight="1" x14ac:dyDescent="0.35">
      <c r="A12" s="20"/>
      <c r="B12" s="20"/>
      <c r="C12" s="20"/>
      <c r="D12" s="376" t="str">
        <f>[1]Blank42!D1014</f>
        <v>Gap(Seller) Balloon Note Payment</v>
      </c>
      <c r="E12" s="45"/>
      <c r="F12" s="45" t="str">
        <f>IF([1]Blank42!F1014=0,FIXED(0,0,0),[1]Blank42!F1014)</f>
        <v>0</v>
      </c>
      <c r="G12" s="45" t="str">
        <f>IF([1]Blank42!G1014=0,FIXED(0,0,0),[1]Blank42!G1014)</f>
        <v>0</v>
      </c>
      <c r="H12" s="45" t="str">
        <f>IF([1]Blank42!H1014=0,FIXED(0,0,0),[1]Blank42!H1014)</f>
        <v>0</v>
      </c>
      <c r="I12" s="45" t="str">
        <f>IF([1]Blank42!I1014=0,FIXED(0,0,0),[1]Blank42!I1014)</f>
        <v>0</v>
      </c>
      <c r="J12" s="45" t="str">
        <f>IF([1]Blank42!J1014=0,FIXED(0,0,0),[1]Blank42!J1014)</f>
        <v>0</v>
      </c>
      <c r="K12" s="45"/>
      <c r="L12" s="455" t="str">
        <f>[1]Blank42!L1014</f>
        <v>Y</v>
      </c>
      <c r="M12" s="20"/>
      <c r="N12" s="20"/>
    </row>
    <row r="13" spans="1:14" ht="12" customHeight="1" x14ac:dyDescent="0.35">
      <c r="A13" s="20"/>
      <c r="B13" s="20"/>
      <c r="C13" s="20"/>
      <c r="D13" s="376" t="str">
        <f>[1]Blank42!D1015</f>
        <v>Interest Exp-Gap(Seller) Balloon Note</v>
      </c>
      <c r="E13" s="45"/>
      <c r="F13" s="45" t="str">
        <f>IF([1]Blank42!F1015=0,FIXED(0,0,0),[1]Blank42!F1015)</f>
        <v>0</v>
      </c>
      <c r="G13" s="45" t="str">
        <f>IF([1]Blank42!G1015=0,FIXED(0,0,0),[1]Blank42!G1015)</f>
        <v>0</v>
      </c>
      <c r="H13" s="45" t="str">
        <f>IF([1]Blank42!H1015=0,FIXED(0,0,0),[1]Blank42!H1015)</f>
        <v>0</v>
      </c>
      <c r="I13" s="45" t="str">
        <f>IF([1]Blank42!I1015=0,FIXED(0,0,0),[1]Blank42!I1015)</f>
        <v>0</v>
      </c>
      <c r="J13" s="45" t="str">
        <f>IF([1]Blank42!J1015=0,FIXED(0,0,0),[1]Blank42!J1015)</f>
        <v>0</v>
      </c>
      <c r="K13" s="45"/>
      <c r="L13" s="352" t="str">
        <f>[1]Blank42!L1015</f>
        <v>Y</v>
      </c>
      <c r="M13" s="20"/>
      <c r="N13" s="20"/>
    </row>
    <row r="14" spans="1:14" ht="12" customHeight="1" x14ac:dyDescent="0.35">
      <c r="A14" s="20"/>
      <c r="B14" s="20"/>
      <c r="C14" s="20"/>
      <c r="D14" s="376" t="str">
        <f>[1]Blank42!D1016</f>
        <v>Remaining Non-Compete Payment</v>
      </c>
      <c r="E14" s="45"/>
      <c r="F14" s="45" t="str">
        <f>IF([1]Blank42!F1016=0,FIXED(0,0,0),[1]Blank42!F1016)</f>
        <v>0</v>
      </c>
      <c r="G14" s="45" t="str">
        <f>IF([1]Blank42!G1016=0,FIXED(0,0,0),[1]Blank42!G1016)</f>
        <v>0</v>
      </c>
      <c r="H14" s="45" t="str">
        <f>IF([1]Blank42!H1016=0,FIXED(0,0,0),[1]Blank42!H1016)</f>
        <v>0</v>
      </c>
      <c r="I14" s="45" t="str">
        <f>IF([1]Blank42!I1016=0,FIXED(0,0,0),[1]Blank42!I1016)</f>
        <v>0</v>
      </c>
      <c r="J14" s="45" t="str">
        <f>IF([1]Blank42!J1016=0,FIXED(0,0,0),[1]Blank42!J1016)</f>
        <v>0</v>
      </c>
      <c r="K14" s="45"/>
      <c r="L14" s="455" t="str">
        <f>[1]Blank42!L1016</f>
        <v>Y</v>
      </c>
      <c r="M14" s="20"/>
      <c r="N14" s="20"/>
    </row>
    <row r="15" spans="1:14" ht="12" customHeight="1" x14ac:dyDescent="0.35">
      <c r="A15" s="20"/>
      <c r="B15" s="20"/>
      <c r="C15" s="20"/>
      <c r="D15" s="376" t="str">
        <f>[1]Blank42!D1017</f>
        <v>Interest Exp-Non-Compete</v>
      </c>
      <c r="E15" s="45"/>
      <c r="F15" s="45" t="str">
        <f>IF([1]Blank42!F1017=0,FIXED(0,0,0),[1]Blank42!F1017)</f>
        <v>0</v>
      </c>
      <c r="G15" s="45" t="str">
        <f>IF([1]Blank42!G1017=0,FIXED(0,0,0),[1]Blank42!G1017)</f>
        <v>0</v>
      </c>
      <c r="H15" s="45" t="str">
        <f>IF([1]Blank42!H1017=0,FIXED(0,0,0),[1]Blank42!H1017)</f>
        <v>0</v>
      </c>
      <c r="I15" s="45" t="str">
        <f>IF([1]Blank42!I1017=0,FIXED(0,0,0),[1]Blank42!I1017)</f>
        <v>0</v>
      </c>
      <c r="J15" s="45" t="str">
        <f>IF([1]Blank42!J1017=0,FIXED(0,0,0),[1]Blank42!J1017)</f>
        <v>0</v>
      </c>
      <c r="K15" s="45"/>
      <c r="L15" s="352" t="str">
        <f>[1]Blank42!L1017</f>
        <v>Y</v>
      </c>
      <c r="M15" s="20"/>
      <c r="N15" s="20"/>
    </row>
    <row r="16" spans="1:14" ht="12" customHeight="1" x14ac:dyDescent="0.35">
      <c r="A16" s="20"/>
      <c r="B16" s="20"/>
      <c r="C16" s="20"/>
      <c r="D16" s="41" t="str">
        <f>[1]Blank42!D1018</f>
        <v>Remaining Personal Goodwill Payment</v>
      </c>
      <c r="E16" s="45"/>
      <c r="F16" s="45" t="str">
        <f>IF([1]Blank42!F1018=0,FIXED(0,0,0),[1]Blank42!F1018)</f>
        <v>0</v>
      </c>
      <c r="G16" s="45" t="str">
        <f>IF([1]Blank42!G1018=0,FIXED(0,0,0),[1]Blank42!G1018)</f>
        <v>0</v>
      </c>
      <c r="H16" s="45" t="str">
        <f>IF([1]Blank42!H1018=0,FIXED(0,0,0),[1]Blank42!H1018)</f>
        <v>0</v>
      </c>
      <c r="I16" s="45" t="str">
        <f>IF([1]Blank42!I1018=0,FIXED(0,0,0),[1]Blank42!I1018)</f>
        <v>0</v>
      </c>
      <c r="J16" s="45" t="str">
        <f>IF([1]Blank42!J1018=0,FIXED(0,0,0),[1]Blank42!J1018)</f>
        <v>0</v>
      </c>
      <c r="K16" s="45"/>
      <c r="L16" s="455" t="str">
        <f>[1]Blank42!L1018</f>
        <v>Y</v>
      </c>
      <c r="M16" s="20"/>
      <c r="N16" s="20"/>
    </row>
    <row r="17" spans="1:14" ht="12" customHeight="1" x14ac:dyDescent="0.35">
      <c r="A17" s="20"/>
      <c r="B17" s="20"/>
      <c r="C17" s="20"/>
      <c r="D17" s="376" t="str">
        <f>[1]Blank42!D1019</f>
        <v>Interest Expense-Personal Goodwill</v>
      </c>
      <c r="E17" s="45"/>
      <c r="F17" s="45" t="str">
        <f>IF([1]Blank42!F1019=0,FIXED(0,0,0),[1]Blank42!F1019)</f>
        <v>0</v>
      </c>
      <c r="G17" s="45" t="str">
        <f>IF([1]Blank42!G1019=0,FIXED(0,0,0),[1]Blank42!G1019)</f>
        <v>0</v>
      </c>
      <c r="H17" s="45" t="str">
        <f>IF([1]Blank42!H1019=0,FIXED(0,0,0),[1]Blank42!H1019)</f>
        <v>0</v>
      </c>
      <c r="I17" s="45" t="str">
        <f>IF([1]Blank42!I1019=0,FIXED(0,0,0),[1]Blank42!I1019)</f>
        <v>0</v>
      </c>
      <c r="J17" s="45" t="str">
        <f>IF([1]Blank42!J1019=0,FIXED(0,0,0),[1]Blank42!J1019)</f>
        <v>0</v>
      </c>
      <c r="K17" s="45"/>
      <c r="L17" s="352" t="str">
        <f>L16</f>
        <v>Y</v>
      </c>
      <c r="M17" s="20"/>
      <c r="N17" s="20"/>
    </row>
    <row r="18" spans="1:14" ht="12" customHeight="1" x14ac:dyDescent="0.35">
      <c r="A18" s="20"/>
      <c r="B18" s="20"/>
      <c r="C18" s="20"/>
      <c r="D18" s="376" t="str">
        <f>[1]Blank42!D1020</f>
        <v>Remaining Consulting Payments</v>
      </c>
      <c r="E18" s="45"/>
      <c r="F18" s="45" t="str">
        <f>IF([1]Blank42!F1020=0,FIXED(0,0,0),[1]Blank42!F1020)</f>
        <v>0</v>
      </c>
      <c r="G18" s="45" t="str">
        <f>IF([1]Blank42!G1020=0,FIXED(0,0,0),[1]Blank42!G1020)</f>
        <v>0</v>
      </c>
      <c r="H18" s="45" t="str">
        <f>IF([1]Blank42!H1020=0,FIXED(0,0,0),[1]Blank42!H1020)</f>
        <v>0</v>
      </c>
      <c r="I18" s="45" t="str">
        <f>IF([1]Blank42!I1020=0,FIXED(0,0,0),[1]Blank42!I1020)</f>
        <v>0</v>
      </c>
      <c r="J18" s="45" t="str">
        <f>IF([1]Blank42!J1020=0,FIXED(0,0,0),[1]Blank42!J1020)</f>
        <v>0</v>
      </c>
      <c r="K18" s="45"/>
      <c r="L18" s="455" t="str">
        <f>[1]Blank42!L1020</f>
        <v>Y</v>
      </c>
      <c r="M18" s="20"/>
      <c r="N18" s="20"/>
    </row>
    <row r="19" spans="1:14" ht="12" customHeight="1" x14ac:dyDescent="0.6">
      <c r="A19" s="20"/>
      <c r="B19" s="20"/>
      <c r="C19" s="20"/>
      <c r="D19" s="376" t="str">
        <f>[1]Blank42!D1021</f>
        <v>Earn-out Payments: None</v>
      </c>
      <c r="E19" s="50" t="str">
        <f>IF([1]Blank42!E1021=0,FIXED(0,0,0),[1]Blank42!E1021)</f>
        <v>0</v>
      </c>
      <c r="F19" s="50" t="str">
        <f>IF([1]Blank42!F1021=0,FIXED(0,0,0),[1]Blank42!F1021)</f>
        <v>0</v>
      </c>
      <c r="G19" s="50" t="str">
        <f>IF([1]Blank42!G1021=0,FIXED(0,0,0),[1]Blank42!G1021)</f>
        <v>0</v>
      </c>
      <c r="H19" s="50" t="str">
        <f>IF([1]Blank42!H1021=0,FIXED(0,0,0),[1]Blank42!H1021)</f>
        <v>0</v>
      </c>
      <c r="I19" s="50" t="str">
        <f>IF([1]Blank42!I1021=0,FIXED(0,0,0),[1]Blank42!I1021)</f>
        <v>0</v>
      </c>
      <c r="J19" s="50" t="str">
        <f>IF([1]Blank42!J1021=0,FIXED(0,0,0),[1]Blank42!J1021)</f>
        <v>0</v>
      </c>
      <c r="K19" s="45"/>
      <c r="L19" s="455" t="str">
        <f>[1]Blank42!L1021</f>
        <v>Y</v>
      </c>
      <c r="M19" s="20"/>
      <c r="N19" s="20"/>
    </row>
    <row r="20" spans="1:14" ht="12" customHeight="1" x14ac:dyDescent="0.35">
      <c r="A20" s="20"/>
      <c r="B20" s="20"/>
      <c r="C20" s="20"/>
      <c r="D20" s="376" t="str">
        <f>[1]Blank42!D1022</f>
        <v>Total Seller's Cash Flow</v>
      </c>
      <c r="E20" s="45">
        <f>IF([1]Blank42!E1022=0,FIXED(0,0,0),[1]Blank42!E1022)</f>
        <v>2451.785049534185</v>
      </c>
      <c r="F20" s="45">
        <f>IF([1]Blank42!F1022=0,FIXED(0,0,0),[1]Blank42!F1022)</f>
        <v>366.25652953559654</v>
      </c>
      <c r="G20" s="45">
        <f>IF([1]Blank42!G1022=0,FIXED(0,0,0),[1]Blank42!G1022)</f>
        <v>341.83942756655676</v>
      </c>
      <c r="H20" s="45">
        <f>IF([1]Blank42!H1022=0,FIXED(0,0,0),[1]Blank42!H1022)</f>
        <v>317.42232559751699</v>
      </c>
      <c r="I20" s="45">
        <f>IF([1]Blank42!I1022=0,FIXED(0,0,0),[1]Blank42!I1022)</f>
        <v>293.00522362847721</v>
      </c>
      <c r="J20" s="45">
        <f>IF([1]Blank42!J1022=0,FIXED(0,0,0),[1]Blank42!J1022)</f>
        <v>268.58812165943755</v>
      </c>
      <c r="K20" s="45">
        <f>IF([1]Blank42!K1022=0,FIXED(0,0,0),[1]Blank42!K1022)</f>
        <v>4038.8966775217705</v>
      </c>
      <c r="L20" s="20"/>
      <c r="M20" s="20"/>
      <c r="N20" s="20"/>
    </row>
    <row r="21" spans="1:14" ht="12" customHeight="1" x14ac:dyDescent="0.35">
      <c r="A21" s="20"/>
      <c r="B21" s="20"/>
      <c r="C21" s="20"/>
      <c r="D21" s="263"/>
      <c r="E21" s="20"/>
      <c r="F21" s="257"/>
      <c r="G21" s="257"/>
      <c r="H21" s="257"/>
      <c r="I21" s="257"/>
      <c r="J21" s="257"/>
      <c r="K21" s="45" t="str">
        <f>IF([1]Blank42!K1023=0,FIXED(0,0,0),[1]Blank42!K1023)</f>
        <v>Total</v>
      </c>
      <c r="L21" s="20"/>
      <c r="M21" s="20"/>
      <c r="N21" s="20"/>
    </row>
    <row r="22" spans="1:14" ht="12" customHeight="1" x14ac:dyDescent="0.35">
      <c r="A22" s="20"/>
      <c r="B22" s="20"/>
      <c r="C22" s="20"/>
      <c r="D22" s="263"/>
      <c r="E22" s="20"/>
      <c r="F22" s="257"/>
      <c r="G22" s="257"/>
      <c r="H22" s="257"/>
      <c r="I22" s="257"/>
      <c r="J22" s="257"/>
      <c r="K22" s="20"/>
      <c r="L22" s="20"/>
      <c r="M22" s="20"/>
      <c r="N22" s="20"/>
    </row>
    <row r="23" spans="1:14" ht="12" customHeight="1" x14ac:dyDescent="0.35">
      <c r="A23" s="20"/>
      <c r="B23" s="20"/>
      <c r="C23" s="20"/>
      <c r="D23" s="263"/>
      <c r="E23" s="20"/>
      <c r="F23" s="257"/>
      <c r="G23" s="257"/>
      <c r="H23" s="257"/>
      <c r="I23" s="257"/>
      <c r="J23" s="257"/>
      <c r="K23" s="20"/>
      <c r="L23" s="20"/>
      <c r="M23" s="20"/>
      <c r="N23" s="20"/>
    </row>
    <row r="24" spans="1:14" ht="12" customHeight="1" x14ac:dyDescent="0.35">
      <c r="A24" s="20"/>
      <c r="B24" s="20"/>
      <c r="C24" s="20"/>
      <c r="D24" s="263"/>
      <c r="E24" s="20"/>
      <c r="F24" s="257"/>
      <c r="G24" s="257"/>
      <c r="H24" s="257"/>
      <c r="I24" s="257"/>
      <c r="J24" s="257"/>
      <c r="K24" s="20"/>
      <c r="L24" s="20"/>
      <c r="M24" s="20"/>
      <c r="N24" s="20"/>
    </row>
    <row r="25" spans="1:14" ht="12" customHeight="1" x14ac:dyDescent="0.35">
      <c r="A25" s="20"/>
      <c r="B25" s="20"/>
      <c r="C25" s="20"/>
      <c r="D25" s="263"/>
      <c r="E25" s="20"/>
      <c r="F25" s="257"/>
      <c r="G25" s="257"/>
      <c r="H25" s="257"/>
      <c r="I25" s="257"/>
      <c r="J25" s="257"/>
      <c r="K25" s="20"/>
      <c r="L25" s="20"/>
      <c r="M25" s="20"/>
      <c r="N25" s="20"/>
    </row>
    <row r="26" spans="1:14" ht="12" customHeight="1" x14ac:dyDescent="0.35">
      <c r="A26" s="20"/>
      <c r="B26" s="20"/>
      <c r="C26" s="20"/>
      <c r="D26" s="56"/>
      <c r="E26" s="20"/>
      <c r="F26" s="20"/>
      <c r="G26" s="20"/>
      <c r="H26" s="20"/>
      <c r="I26" s="20"/>
      <c r="J26" s="20"/>
      <c r="K26" s="20"/>
      <c r="L26" s="20"/>
      <c r="M26" s="20"/>
      <c r="N26" s="20"/>
    </row>
    <row r="27" spans="1:14" ht="12" customHeight="1" x14ac:dyDescent="0.35">
      <c r="A27" s="269" t="str">
        <f ca="1">ROUND(A34,0)&amp;[1]Blank42!O3</f>
        <v>816415</v>
      </c>
      <c r="B27" s="438" t="str">
        <f>[1]Blank42!$A$9</f>
        <v>BVX®</v>
      </c>
      <c r="C27" s="20"/>
      <c r="D27" s="56"/>
      <c r="E27" s="20"/>
      <c r="F27" s="20"/>
      <c r="G27" s="20"/>
      <c r="H27" s="20"/>
      <c r="I27" s="20"/>
      <c r="J27" s="20"/>
      <c r="K27" s="20"/>
      <c r="L27" s="20"/>
      <c r="M27" s="20"/>
      <c r="N27" s="20"/>
    </row>
    <row r="34" spans="1:1" x14ac:dyDescent="0.35">
      <c r="A34" s="234">
        <f ca="1">'[1]Valuation 1'!$A$44</f>
        <v>816414.83860721253</v>
      </c>
    </row>
  </sheetData>
  <mergeCells count="1">
    <mergeCell ref="L5:M5"/>
  </mergeCells>
  <pageMargins left="0.75" right="0.75" top="1" bottom="1" header="0.5" footer="0.5"/>
  <pageSetup scale="8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6E825-917A-4DD7-A5FD-C03599F426F1}">
  <sheetPr codeName="Sheet8">
    <pageSetUpPr fitToPage="1"/>
  </sheetPr>
  <dimension ref="A1:N39"/>
  <sheetViews>
    <sheetView showGridLines="0" workbookViewId="0"/>
  </sheetViews>
  <sheetFormatPr defaultRowHeight="12.75" x14ac:dyDescent="0.35"/>
  <cols>
    <col min="1" max="1" width="12.69140625" style="1" customWidth="1"/>
    <col min="2" max="4" width="9.23046875" style="1"/>
    <col min="5" max="8" width="12.15234375" style="1" customWidth="1"/>
    <col min="9" max="9" width="12.07421875" style="1" customWidth="1"/>
    <col min="10" max="10" width="12.15234375" style="1" customWidth="1"/>
    <col min="11" max="11" width="11.3828125" style="1" customWidth="1"/>
    <col min="12" max="16384" width="9.23046875" style="1"/>
  </cols>
  <sheetData>
    <row r="1" spans="1:14" ht="6" customHeight="1" x14ac:dyDescent="0.35"/>
    <row r="2" spans="1:14" ht="18" customHeight="1" x14ac:dyDescent="0.5">
      <c r="A2" s="4" t="str">
        <f>[1]Blank42!A954</f>
        <v>Company:</v>
      </c>
      <c r="B2" s="238" t="str">
        <f>[1]Blank42!B954</f>
        <v>Best Business, Inc.</v>
      </c>
      <c r="F2" s="297" t="str">
        <f>[1]Blank42!F953</f>
        <v>Earn-out Inputs</v>
      </c>
    </row>
    <row r="3" spans="1:14" ht="15" customHeight="1" x14ac:dyDescent="0.35">
      <c r="A3" s="4" t="str">
        <f>[1]Blank42!A953</f>
        <v>Prepared for:</v>
      </c>
      <c r="B3" s="243" t="str">
        <f>[1]Blank42!B953</f>
        <v>Mr. Client</v>
      </c>
      <c r="D3" s="441"/>
      <c r="E3" s="4" t="str">
        <f>[1]Blank42!H954</f>
        <v>Prepared by:</v>
      </c>
      <c r="F3" s="243" t="str">
        <f>[1]Blank42!I954</f>
        <v>Illinois Corporate Investments Inc.</v>
      </c>
      <c r="G3" s="245"/>
      <c r="H3" s="245"/>
      <c r="I3" s="245"/>
      <c r="J3" s="4" t="str">
        <f>[1]Blank42!E954</f>
        <v>Preparer:</v>
      </c>
      <c r="K3" s="243" t="str">
        <f>[1]Blank42!F954</f>
        <v>Mr. Professional</v>
      </c>
    </row>
    <row r="4" spans="1:14" ht="6" customHeight="1" x14ac:dyDescent="0.35">
      <c r="D4" s="441"/>
    </row>
    <row r="5" spans="1:14" ht="12" customHeight="1" x14ac:dyDescent="0.35">
      <c r="C5" s="87"/>
      <c r="L5" s="248">
        <f ca="1">[1]Blank42!$K$953</f>
        <v>44412.60115613426</v>
      </c>
      <c r="M5" s="248"/>
      <c r="N5" s="4" t="s">
        <v>100</v>
      </c>
    </row>
    <row r="6" spans="1:14" ht="12" customHeight="1" x14ac:dyDescent="0.4">
      <c r="A6" s="97"/>
      <c r="B6" s="97"/>
      <c r="C6" s="249"/>
      <c r="D6" s="139"/>
      <c r="E6" s="140" t="str">
        <f>[1]Blank42!E956</f>
        <v>Year0</v>
      </c>
      <c r="F6" s="140" t="str">
        <f>[1]Blank42!F956</f>
        <v>Year1</v>
      </c>
      <c r="G6" s="140" t="str">
        <f>[1]Blank42!G956</f>
        <v>Year2</v>
      </c>
      <c r="H6" s="140" t="str">
        <f>[1]Blank42!H956</f>
        <v>Year3</v>
      </c>
      <c r="I6" s="140" t="str">
        <f>[1]Blank42!I956</f>
        <v>Year4</v>
      </c>
      <c r="J6" s="140" t="str">
        <f>[1]Blank42!J956</f>
        <v>Year5</v>
      </c>
      <c r="K6" s="250"/>
      <c r="L6" s="140"/>
      <c r="M6" s="140"/>
      <c r="N6" s="140"/>
    </row>
    <row r="7" spans="1:14" ht="12" customHeight="1" x14ac:dyDescent="0.35">
      <c r="A7" s="136" t="str">
        <f>[1]Blank42!$A$956</f>
        <v>No</v>
      </c>
      <c r="B7" s="115"/>
      <c r="C7" s="20"/>
      <c r="D7" s="20"/>
      <c r="E7" s="20"/>
      <c r="F7" s="20"/>
      <c r="G7" s="20"/>
      <c r="H7" s="20"/>
      <c r="I7" s="20"/>
      <c r="J7" s="20"/>
      <c r="K7" s="20"/>
      <c r="L7" s="20"/>
      <c r="M7" s="20"/>
      <c r="N7" s="20"/>
    </row>
    <row r="8" spans="1:14" ht="12" customHeight="1" x14ac:dyDescent="0.4">
      <c r="A8" s="136">
        <f>[1]Blank42!A958</f>
        <v>1</v>
      </c>
      <c r="B8" s="115"/>
      <c r="C8" s="20"/>
      <c r="D8" s="20"/>
      <c r="E8" s="257"/>
      <c r="F8" s="123" t="str">
        <f>[1]Blank42!F958</f>
        <v>Earn-out Criteria:</v>
      </c>
      <c r="G8" s="442" t="str">
        <f>[1]Blank42!G958</f>
        <v>Total Sales</v>
      </c>
      <c r="H8" s="257"/>
      <c r="I8" s="257"/>
      <c r="J8" s="443" t="str">
        <f>IF(A7="No","Earn-out Not Selected","")</f>
        <v>Earn-out Not Selected</v>
      </c>
      <c r="K8" s="253"/>
      <c r="L8" s="20"/>
      <c r="M8" s="20"/>
      <c r="N8" s="20"/>
    </row>
    <row r="9" spans="1:14" ht="12" customHeight="1" x14ac:dyDescent="0.35">
      <c r="A9" s="136">
        <f>[1]Blank42!A959</f>
        <v>2</v>
      </c>
      <c r="B9" s="115"/>
      <c r="C9" s="20"/>
      <c r="D9" s="20"/>
      <c r="E9" s="257"/>
      <c r="F9" s="123" t="str">
        <f>[1]Blank42!F959</f>
        <v>Earn-out Treatment:</v>
      </c>
      <c r="G9" s="442" t="str">
        <f>[1]Blank42!G959</f>
        <v>Expense</v>
      </c>
      <c r="H9" s="257"/>
      <c r="I9" s="257"/>
      <c r="J9" s="257"/>
      <c r="K9" s="253"/>
      <c r="L9" s="257"/>
      <c r="M9" s="257"/>
      <c r="N9" s="257"/>
    </row>
    <row r="10" spans="1:14" ht="6" customHeight="1" x14ac:dyDescent="0.35">
      <c r="A10" s="20"/>
      <c r="B10" s="20"/>
      <c r="C10" s="20"/>
      <c r="D10" s="20"/>
      <c r="E10" s="257"/>
      <c r="F10" s="257"/>
      <c r="G10" s="257"/>
      <c r="H10" s="257"/>
      <c r="I10" s="257"/>
      <c r="J10" s="257"/>
      <c r="K10" s="257"/>
      <c r="L10" s="173"/>
      <c r="M10" s="173"/>
      <c r="N10" s="173"/>
    </row>
    <row r="11" spans="1:14" ht="12" customHeight="1" x14ac:dyDescent="0.35">
      <c r="A11" s="20"/>
      <c r="B11" s="20"/>
      <c r="C11" s="20"/>
      <c r="D11" s="337" t="str">
        <f>[1]Blank42!D961</f>
        <v>n/a</v>
      </c>
      <c r="E11" s="444">
        <f>IF([1]Blank42!E961=0,FIXED(0,0,0),[1]Blank42!E961)</f>
        <v>2000</v>
      </c>
      <c r="F11" s="202">
        <f>IF([1]Blank42!F961=0,FIXED(0,0,0),[1]Blank42!F961)</f>
        <v>2200</v>
      </c>
      <c r="G11" s="202">
        <f>IF([1]Blank42!G961=0,FIXED(0,0,0),[1]Blank42!G961)</f>
        <v>2400</v>
      </c>
      <c r="H11" s="202">
        <f>IF([1]Blank42!H961=0,FIXED(0,0,0),[1]Blank42!H961)</f>
        <v>2650</v>
      </c>
      <c r="I11" s="202">
        <f>IF([1]Blank42!I961=0,FIXED(0,0,0),[1]Blank42!I961)</f>
        <v>2800</v>
      </c>
      <c r="J11" s="202">
        <f>IF([1]Blank42!J961=0,FIXED(0,0,0),[1]Blank42!J961)</f>
        <v>3000</v>
      </c>
      <c r="K11" s="257"/>
      <c r="L11" s="173"/>
      <c r="M11" s="173"/>
      <c r="N11" s="173"/>
    </row>
    <row r="12" spans="1:14" ht="12" customHeight="1" x14ac:dyDescent="0.35">
      <c r="A12" s="20"/>
      <c r="B12" s="20"/>
      <c r="C12" s="20"/>
      <c r="D12" s="41" t="str">
        <f>[1]Blank42!D962</f>
        <v/>
      </c>
      <c r="E12" s="52" t="str">
        <f>[1]Blank42!E962</f>
        <v>n/a</v>
      </c>
      <c r="F12" s="445">
        <f>[1]Blank42!F962</f>
        <v>0.1</v>
      </c>
      <c r="G12" s="445">
        <f>[1]Blank42!G962</f>
        <v>0.1</v>
      </c>
      <c r="H12" s="445">
        <f>[1]Blank42!H962</f>
        <v>0.1</v>
      </c>
      <c r="I12" s="445">
        <f>[1]Blank42!I962</f>
        <v>0.1</v>
      </c>
      <c r="J12" s="445">
        <f>[1]Blank42!J962</f>
        <v>0.1</v>
      </c>
      <c r="K12" s="261"/>
      <c r="L12" s="261"/>
      <c r="M12" s="261"/>
      <c r="N12" s="261"/>
    </row>
    <row r="13" spans="1:14" ht="12" customHeight="1" x14ac:dyDescent="0.35">
      <c r="A13" s="20"/>
      <c r="B13" s="20"/>
      <c r="C13" s="20"/>
      <c r="D13" s="41"/>
      <c r="E13" s="446"/>
      <c r="F13" s="446"/>
      <c r="G13" s="446"/>
      <c r="H13" s="446"/>
      <c r="I13" s="446"/>
      <c r="J13" s="446"/>
      <c r="K13" s="257"/>
      <c r="L13" s="20"/>
      <c r="M13" s="20"/>
      <c r="N13" s="20"/>
    </row>
    <row r="14" spans="1:14" ht="12" customHeight="1" x14ac:dyDescent="0.35">
      <c r="A14" s="20"/>
      <c r="B14" s="20"/>
      <c r="C14" s="20"/>
      <c r="D14" s="337" t="str">
        <f>[1]Blank42!D964</f>
        <v>n/a</v>
      </c>
      <c r="E14" s="280" t="str">
        <f>IF([1]Blank42!E964=0,FIXED(0,0,0),[1]Blank42!E964)</f>
        <v>0</v>
      </c>
      <c r="F14" s="280" t="str">
        <f>IF([1]Blank42!F964=0,FIXED(0,0,0),[1]Blank42!F964)</f>
        <v>0</v>
      </c>
      <c r="G14" s="280" t="str">
        <f>IF([1]Blank42!G964=0,FIXED(0,0,0),[1]Blank42!G964)</f>
        <v>0</v>
      </c>
      <c r="H14" s="280" t="str">
        <f>IF([1]Blank42!H964=0,FIXED(0,0,0),[1]Blank42!H964)</f>
        <v>0</v>
      </c>
      <c r="I14" s="280" t="str">
        <f>IF([1]Blank42!I964=0,FIXED(0,0,0),[1]Blank42!I964)</f>
        <v>0</v>
      </c>
      <c r="J14" s="280" t="str">
        <f>IF([1]Blank42!J964=0,FIXED(0,0,0),[1]Blank42!J964)</f>
        <v>0</v>
      </c>
      <c r="K14" s="257"/>
      <c r="L14" s="20"/>
      <c r="M14" s="20"/>
      <c r="N14" s="20"/>
    </row>
    <row r="15" spans="1:14" ht="12" customHeight="1" x14ac:dyDescent="0.35">
      <c r="A15" s="20"/>
      <c r="B15" s="20"/>
      <c r="C15" s="20"/>
      <c r="D15" s="41" t="str">
        <f>[1]Blank42!D965</f>
        <v>n/a</v>
      </c>
      <c r="E15" s="280" t="str">
        <f>[1]Blank42!E965</f>
        <v>n/a</v>
      </c>
      <c r="F15" s="57">
        <f>[1]Blank42!F965</f>
        <v>0</v>
      </c>
      <c r="G15" s="57">
        <f>[1]Blank42!G965</f>
        <v>0</v>
      </c>
      <c r="H15" s="57">
        <f>[1]Blank42!H965</f>
        <v>0</v>
      </c>
      <c r="I15" s="57">
        <f>[1]Blank42!I965</f>
        <v>0</v>
      </c>
      <c r="J15" s="57">
        <f>[1]Blank42!J965</f>
        <v>0</v>
      </c>
      <c r="K15" s="257"/>
      <c r="L15" s="20"/>
      <c r="M15" s="20"/>
      <c r="N15" s="20"/>
    </row>
    <row r="16" spans="1:14" ht="12" customHeight="1" x14ac:dyDescent="0.35">
      <c r="A16" s="20"/>
      <c r="B16" s="20"/>
      <c r="C16" s="20"/>
      <c r="D16" s="337" t="str">
        <f>[1]Blank42!D966</f>
        <v>n/a</v>
      </c>
      <c r="E16" s="280" t="str">
        <f>IF([1]Blank42!E966=0,FIXED(0,0,0),[1]Blank42!E966)</f>
        <v>0</v>
      </c>
      <c r="F16" s="280" t="str">
        <f>IF([1]Blank42!F966=0,FIXED(0,0,0),[1]Blank42!F966)</f>
        <v>0</v>
      </c>
      <c r="G16" s="280" t="str">
        <f>IF([1]Blank42!G966=0,FIXED(0,0,0),[1]Blank42!G966)</f>
        <v>0</v>
      </c>
      <c r="H16" s="280" t="str">
        <f>IF([1]Blank42!H966=0,FIXED(0,0,0),[1]Blank42!H966)</f>
        <v>0</v>
      </c>
      <c r="I16" s="280" t="str">
        <f>IF([1]Blank42!I966=0,FIXED(0,0,0),[1]Blank42!I966)</f>
        <v>0</v>
      </c>
      <c r="J16" s="280" t="str">
        <f>IF([1]Blank42!J966=0,FIXED(0,0,0),[1]Blank42!J966)</f>
        <v>0</v>
      </c>
      <c r="K16" s="257"/>
      <c r="L16" s="20"/>
      <c r="M16" s="20"/>
      <c r="N16" s="20"/>
    </row>
    <row r="17" spans="1:14" ht="12" customHeight="1" x14ac:dyDescent="0.35">
      <c r="A17" s="20"/>
      <c r="B17" s="20"/>
      <c r="C17" s="20"/>
      <c r="D17" s="41" t="str">
        <f>[1]Blank42!D967</f>
        <v>n/a</v>
      </c>
      <c r="E17" s="280" t="str">
        <f>[1]Blank42!E967</f>
        <v>n/a</v>
      </c>
      <c r="F17" s="57">
        <f>[1]Blank42!F967</f>
        <v>0</v>
      </c>
      <c r="G17" s="57">
        <f>[1]Blank42!G967</f>
        <v>0</v>
      </c>
      <c r="H17" s="57">
        <f>[1]Blank42!H967</f>
        <v>0</v>
      </c>
      <c r="I17" s="57">
        <f>[1]Blank42!I967</f>
        <v>0</v>
      </c>
      <c r="J17" s="57">
        <f>[1]Blank42!J967</f>
        <v>0</v>
      </c>
      <c r="K17" s="257"/>
      <c r="L17" s="20"/>
      <c r="M17" s="20"/>
      <c r="N17" s="20"/>
    </row>
    <row r="18" spans="1:14" ht="6" customHeight="1" x14ac:dyDescent="0.35">
      <c r="A18" s="20"/>
      <c r="B18" s="20"/>
      <c r="C18" s="20"/>
      <c r="D18" s="41"/>
      <c r="E18" s="280"/>
      <c r="F18" s="57"/>
      <c r="G18" s="57"/>
      <c r="H18" s="57"/>
      <c r="I18" s="57"/>
      <c r="J18" s="57"/>
      <c r="K18" s="257"/>
      <c r="L18" s="20"/>
      <c r="M18" s="20"/>
      <c r="N18" s="20"/>
    </row>
    <row r="19" spans="1:14" ht="12" customHeight="1" x14ac:dyDescent="0.35">
      <c r="A19" s="20"/>
      <c r="B19" s="20"/>
      <c r="C19" s="20"/>
      <c r="D19" s="72" t="str">
        <f>[1]Blank42!D969</f>
        <v>X = Total Sales</v>
      </c>
      <c r="E19" s="45" t="str">
        <f>IF([1]Blank42!E969=0,FIXED(0,0,0),[1]Blank42!E969)</f>
        <v>5000</v>
      </c>
      <c r="F19" s="45">
        <f>IF([1]Blank42!F969=0,FIXED(0,0,0),[1]Blank42!F969)</f>
        <v>5250</v>
      </c>
      <c r="G19" s="45">
        <f>IF([1]Blank42!G969=0,FIXED(0,0,0),[1]Blank42!G969)</f>
        <v>5512.5</v>
      </c>
      <c r="H19" s="45">
        <f>IF([1]Blank42!H969=0,FIXED(0,0,0),[1]Blank42!H969)</f>
        <v>5788.125</v>
      </c>
      <c r="I19" s="45">
        <f>IF([1]Blank42!I969=0,FIXED(0,0,0),[1]Blank42!I969)</f>
        <v>6077.53125</v>
      </c>
      <c r="J19" s="45">
        <f>IF([1]Blank42!J969=0,FIXED(0,0,0),[1]Blank42!J969)</f>
        <v>6381.4078125000005</v>
      </c>
      <c r="K19" s="257"/>
      <c r="L19" s="20"/>
      <c r="M19" s="20"/>
      <c r="N19" s="20"/>
    </row>
    <row r="20" spans="1:14" ht="12" customHeight="1" x14ac:dyDescent="0.35">
      <c r="A20" s="20"/>
      <c r="B20" s="20"/>
      <c r="C20" s="20"/>
      <c r="D20" s="41" t="str">
        <f>[1]Blank42!D970</f>
        <v>Growth %</v>
      </c>
      <c r="E20" s="52" t="str">
        <f>[1]Blank42!E970</f>
        <v>NA</v>
      </c>
      <c r="F20" s="52">
        <f>[1]Blank42!F970</f>
        <v>0.05</v>
      </c>
      <c r="G20" s="52">
        <f>[1]Blank42!G970</f>
        <v>0.05</v>
      </c>
      <c r="H20" s="52">
        <f>[1]Blank42!H970</f>
        <v>0.05</v>
      </c>
      <c r="I20" s="52">
        <f>[1]Blank42!I970</f>
        <v>0.05</v>
      </c>
      <c r="J20" s="52">
        <f>[1]Blank42!J970</f>
        <v>5.0000000000000093E-2</v>
      </c>
      <c r="K20" s="257"/>
      <c r="L20" s="20"/>
      <c r="M20" s="20"/>
      <c r="N20" s="20"/>
    </row>
    <row r="21" spans="1:14" ht="6" customHeight="1" x14ac:dyDescent="0.35">
      <c r="A21" s="20"/>
      <c r="B21" s="20"/>
      <c r="C21" s="20"/>
      <c r="D21" s="41"/>
      <c r="E21" s="52"/>
      <c r="F21" s="52"/>
      <c r="G21" s="52"/>
      <c r="H21" s="52"/>
      <c r="I21" s="52"/>
      <c r="J21" s="52"/>
      <c r="K21" s="257"/>
      <c r="L21" s="20"/>
      <c r="M21" s="20"/>
      <c r="N21" s="20"/>
    </row>
    <row r="22" spans="1:14" ht="12" customHeight="1" x14ac:dyDescent="0.35">
      <c r="A22" s="20"/>
      <c r="B22" s="20"/>
      <c r="C22" s="20"/>
      <c r="D22" s="20"/>
      <c r="E22" s="447" t="str">
        <f>[1]Blank42!E972</f>
        <v>Y = Pay Earn-out if Total Sales exceed</v>
      </c>
      <c r="F22" s="444">
        <f>IF([1]Blank42!F972=0,FIXED(0,0,0),[1]Blank42!F972)</f>
        <v>5000</v>
      </c>
      <c r="G22" s="444">
        <f>IF([1]Blank42!G972=0,FIXED(0,0,0),[1]Blank42!G972)</f>
        <v>5000</v>
      </c>
      <c r="H22" s="444">
        <f>IF([1]Blank42!H972=0,FIXED(0,0,0),[1]Blank42!H972)</f>
        <v>5000</v>
      </c>
      <c r="I22" s="444">
        <f>IF([1]Blank42!I972=0,FIXED(0,0,0),[1]Blank42!I972)</f>
        <v>5000</v>
      </c>
      <c r="J22" s="444">
        <f>IF([1]Blank42!J972=0,FIXED(0,0,0),[1]Blank42!J972)</f>
        <v>5000</v>
      </c>
      <c r="K22" s="257"/>
      <c r="L22" s="20"/>
      <c r="M22" s="20"/>
      <c r="N22" s="20"/>
    </row>
    <row r="23" spans="1:14" ht="12" customHeight="1" x14ac:dyDescent="0.35">
      <c r="A23" s="20"/>
      <c r="B23" s="20"/>
      <c r="C23" s="20"/>
      <c r="D23" s="20"/>
      <c r="E23" s="447" t="str">
        <f>[1]Blank42!E973</f>
        <v>Basis for Earn-out (= X - Y)</v>
      </c>
      <c r="F23" s="45">
        <f>IF([1]Blank42!F973=0,FIXED(0,0,0),[1]Blank42!F973)</f>
        <v>250</v>
      </c>
      <c r="G23" s="45">
        <f>IF([1]Blank42!G973=0,FIXED(0,0,0),[1]Blank42!G973)</f>
        <v>512.5</v>
      </c>
      <c r="H23" s="45">
        <f>IF([1]Blank42!H973=0,FIXED(0,0,0),[1]Blank42!H973)</f>
        <v>788.125</v>
      </c>
      <c r="I23" s="45">
        <f>IF([1]Blank42!I973=0,FIXED(0,0,0),[1]Blank42!I973)</f>
        <v>1077.53125</v>
      </c>
      <c r="J23" s="45">
        <f>IF([1]Blank42!J973=0,FIXED(0,0,0),[1]Blank42!J973)</f>
        <v>1381.4078125000005</v>
      </c>
      <c r="K23" s="257"/>
      <c r="L23" s="20"/>
      <c r="M23" s="20"/>
      <c r="N23" s="20"/>
    </row>
    <row r="24" spans="1:14" ht="6" customHeight="1" x14ac:dyDescent="0.35">
      <c r="A24" s="20"/>
      <c r="B24" s="20"/>
      <c r="C24" s="20"/>
      <c r="D24" s="20"/>
      <c r="E24" s="447"/>
      <c r="F24" s="257"/>
      <c r="G24" s="257"/>
      <c r="H24" s="257"/>
      <c r="I24" s="257"/>
      <c r="J24" s="257"/>
      <c r="K24" s="257"/>
      <c r="L24" s="20"/>
      <c r="M24" s="20"/>
      <c r="N24" s="20"/>
    </row>
    <row r="25" spans="1:14" ht="12" customHeight="1" x14ac:dyDescent="0.35">
      <c r="A25" s="20"/>
      <c r="B25" s="20"/>
      <c r="C25" s="20"/>
      <c r="D25" s="20"/>
      <c r="E25" s="447" t="str">
        <f>[1]Blank42!E975</f>
        <v>% Earn-out on X - Y</v>
      </c>
      <c r="F25" s="448">
        <f>[1]Blank42!F975</f>
        <v>0.1</v>
      </c>
      <c r="G25" s="448">
        <f>[1]Blank42!G975</f>
        <v>0.1</v>
      </c>
      <c r="H25" s="448">
        <f>[1]Blank42!H975</f>
        <v>0.1</v>
      </c>
      <c r="I25" s="448">
        <f>[1]Blank42!I975</f>
        <v>0.1</v>
      </c>
      <c r="J25" s="448">
        <f>[1]Blank42!J975</f>
        <v>0.1</v>
      </c>
      <c r="K25" s="257"/>
      <c r="L25" s="20"/>
      <c r="M25" s="20"/>
      <c r="N25" s="20"/>
    </row>
    <row r="26" spans="1:14" ht="12" customHeight="1" x14ac:dyDescent="0.35">
      <c r="A26" s="20"/>
      <c r="B26" s="20"/>
      <c r="C26" s="20"/>
      <c r="D26" s="20"/>
      <c r="E26" s="449" t="str">
        <f>[1]Blank42!E976</f>
        <v>Annual Cap on Earn-out</v>
      </c>
      <c r="F26" s="444" t="str">
        <f>IF([1]Blank42!F976=0,FIXED(0,0,0),[1]Blank42!F976)</f>
        <v>None</v>
      </c>
      <c r="G26" s="444" t="str">
        <f>IF([1]Blank42!G976=0,FIXED(0,0,0),[1]Blank42!G976)</f>
        <v>None</v>
      </c>
      <c r="H26" s="444" t="str">
        <f>IF([1]Blank42!H976=0,FIXED(0,0,0),[1]Blank42!H976)</f>
        <v>None</v>
      </c>
      <c r="I26" s="444" t="str">
        <f>IF([1]Blank42!I976=0,FIXED(0,0,0),[1]Blank42!I976)</f>
        <v>None</v>
      </c>
      <c r="J26" s="444" t="str">
        <f>IF([1]Blank42!J976=0,FIXED(0,0,0),[1]Blank42!J976)</f>
        <v>None</v>
      </c>
      <c r="K26" s="257"/>
      <c r="L26" s="20"/>
      <c r="M26" s="20"/>
      <c r="N26" s="20"/>
    </row>
    <row r="27" spans="1:14" ht="12" customHeight="1" x14ac:dyDescent="0.35">
      <c r="A27" s="20"/>
      <c r="B27" s="20"/>
      <c r="C27" s="20"/>
      <c r="D27" s="20"/>
      <c r="E27" s="450"/>
      <c r="F27" s="435"/>
      <c r="G27" s="435"/>
      <c r="H27" s="435"/>
      <c r="I27" s="447" t="str">
        <f>[1]Blank42!I977</f>
        <v>Cumulative Cap on Earn-out</v>
      </c>
      <c r="J27" s="444" t="str">
        <f>IF([1]Blank42!J977=0,FIXED(0,0,0),[1]Blank42!J977)</f>
        <v>None</v>
      </c>
      <c r="K27" s="280" t="s">
        <v>101</v>
      </c>
      <c r="L27" s="20"/>
      <c r="M27" s="20"/>
      <c r="N27" s="20"/>
    </row>
    <row r="28" spans="1:14" ht="9" customHeight="1" x14ac:dyDescent="0.35">
      <c r="A28" s="20"/>
      <c r="B28" s="20"/>
      <c r="C28" s="20"/>
      <c r="D28" s="20"/>
      <c r="E28" s="450"/>
      <c r="F28" s="435"/>
      <c r="G28" s="435"/>
      <c r="H28" s="435"/>
      <c r="I28" s="435"/>
      <c r="J28" s="435"/>
      <c r="K28" s="451" t="s">
        <v>102</v>
      </c>
      <c r="L28" s="20"/>
      <c r="M28" s="20"/>
      <c r="N28" s="20"/>
    </row>
    <row r="29" spans="1:14" ht="12" customHeight="1" x14ac:dyDescent="0.35">
      <c r="A29" s="20"/>
      <c r="B29" s="20"/>
      <c r="C29" s="20"/>
      <c r="D29" s="20"/>
      <c r="E29" s="452" t="str">
        <f>[1]Blank42!E979</f>
        <v>Earn-out Payments</v>
      </c>
      <c r="F29" s="453" t="str">
        <f>IF([1]Blank42!F983=0,FIXED(0,0,0),[1]Blank42!F983)</f>
        <v>0</v>
      </c>
      <c r="G29" s="453" t="str">
        <f>IF([1]Blank42!G983=0,FIXED(0,0,0),[1]Blank42!G983)</f>
        <v>0</v>
      </c>
      <c r="H29" s="453" t="str">
        <f>IF([1]Blank42!H983=0,FIXED(0,0,0),[1]Blank42!H983)</f>
        <v>0</v>
      </c>
      <c r="I29" s="453" t="str">
        <f>IF([1]Blank42!I983=0,FIXED(0,0,0),[1]Blank42!I983)</f>
        <v>0</v>
      </c>
      <c r="J29" s="453" t="str">
        <f>IF([1]Blank42!J983=0,FIXED(0,0,0),[1]Blank42!J983)</f>
        <v>0</v>
      </c>
      <c r="K29" s="453" t="str">
        <f>IF([1]Blank42!K983=0,FIXED(0,0,0),[1]Blank42!K983)</f>
        <v>0</v>
      </c>
      <c r="L29" s="20"/>
      <c r="M29" s="20"/>
      <c r="N29" s="20"/>
    </row>
    <row r="30" spans="1:14" ht="12" customHeight="1" x14ac:dyDescent="0.35">
      <c r="A30" s="20"/>
      <c r="B30" s="20"/>
      <c r="C30" s="20"/>
      <c r="D30" s="20"/>
      <c r="E30" s="447" t="str">
        <f>[1]Blank42!E980</f>
        <v>Cumulative Earn-out</v>
      </c>
      <c r="F30" s="45" t="str">
        <f>IF([1]Blank42!F984=0,FIXED(0,0,0),[1]Blank42!F984)</f>
        <v>0</v>
      </c>
      <c r="G30" s="45" t="str">
        <f>IF([1]Blank42!G984=0,FIXED(0,0,0),[1]Blank42!G984)</f>
        <v>0</v>
      </c>
      <c r="H30" s="45" t="str">
        <f>IF([1]Blank42!H984=0,FIXED(0,0,0),[1]Blank42!H984)</f>
        <v>0</v>
      </c>
      <c r="I30" s="45" t="str">
        <f>IF([1]Blank42!I984=0,FIXED(0,0,0),[1]Blank42!I984)</f>
        <v>0</v>
      </c>
      <c r="J30" s="45" t="str">
        <f>IF([1]Blank42!J984=0,FIXED(0,0,0),[1]Blank42!J984)</f>
        <v>0</v>
      </c>
      <c r="K30" s="341"/>
      <c r="L30" s="20"/>
      <c r="M30" s="20"/>
      <c r="N30" s="20"/>
    </row>
    <row r="31" spans="1:14" ht="12" customHeight="1" x14ac:dyDescent="0.35">
      <c r="A31" s="269" t="str">
        <f ca="1">ROUND(A36,0)&amp;[1]Blank42!O11</f>
        <v>8164150</v>
      </c>
      <c r="B31" s="438" t="str">
        <f>[1]Blank42!$A$9</f>
        <v>BVX®</v>
      </c>
      <c r="C31" s="20"/>
      <c r="D31" s="20"/>
      <c r="E31" s="435"/>
      <c r="F31" s="435"/>
      <c r="G31" s="435"/>
      <c r="H31" s="435"/>
      <c r="I31" s="435"/>
      <c r="J31" s="435"/>
      <c r="K31" s="257"/>
      <c r="L31" s="20"/>
      <c r="M31" s="20"/>
      <c r="N31" s="20"/>
    </row>
    <row r="32" spans="1:14" x14ac:dyDescent="0.35">
      <c r="E32" s="247"/>
      <c r="F32" s="247"/>
      <c r="G32" s="247"/>
      <c r="H32" s="247"/>
      <c r="I32" s="247"/>
      <c r="J32" s="247"/>
      <c r="K32" s="247"/>
    </row>
    <row r="33" spans="1:11" x14ac:dyDescent="0.35">
      <c r="E33" s="247"/>
      <c r="F33" s="247"/>
      <c r="G33" s="247"/>
      <c r="H33" s="247"/>
      <c r="I33" s="247"/>
      <c r="J33" s="247"/>
      <c r="K33" s="247"/>
    </row>
    <row r="34" spans="1:11" x14ac:dyDescent="0.35">
      <c r="K34" s="247"/>
    </row>
    <row r="35" spans="1:11" x14ac:dyDescent="0.35">
      <c r="K35" s="247"/>
    </row>
    <row r="36" spans="1:11" x14ac:dyDescent="0.35">
      <c r="A36" s="234">
        <f ca="1">'[1]Valuation 1'!$A$44</f>
        <v>816414.83860721253</v>
      </c>
      <c r="K36" s="247"/>
    </row>
    <row r="37" spans="1:11" x14ac:dyDescent="0.35">
      <c r="A37" s="87"/>
    </row>
    <row r="38" spans="1:11" x14ac:dyDescent="0.35">
      <c r="A38" s="87"/>
    </row>
    <row r="39" spans="1:11" x14ac:dyDescent="0.35">
      <c r="A39" s="87"/>
    </row>
  </sheetData>
  <mergeCells count="1">
    <mergeCell ref="L5:M5"/>
  </mergeCells>
  <conditionalFormatting sqref="F26:J26 J27">
    <cfRule type="expression" dxfId="4" priority="1" stopIfTrue="1">
      <formula>$B$987=2</formula>
    </cfRule>
  </conditionalFormatting>
  <conditionalFormatting sqref="C14:J17">
    <cfRule type="expression" dxfId="3" priority="2" stopIfTrue="1">
      <formula>$A$8&lt;&gt;4</formula>
    </cfRule>
  </conditionalFormatting>
  <conditionalFormatting sqref="C13:J13 C11:E12">
    <cfRule type="expression" dxfId="2" priority="3" stopIfTrue="1">
      <formula>OR($A$8=1,$A$8=3)</formula>
    </cfRule>
  </conditionalFormatting>
  <conditionalFormatting sqref="F11:J11">
    <cfRule type="expression" dxfId="1" priority="4" stopIfTrue="1">
      <formula>AND(OR($A$8=4,$A$8=2),$A$9=1)</formula>
    </cfRule>
  </conditionalFormatting>
  <conditionalFormatting sqref="F12:J12">
    <cfRule type="expression" dxfId="0" priority="5" stopIfTrue="1">
      <formula>AND(OR($A$8=4,$A$8=2),$A$9=2)</formula>
    </cfRule>
  </conditionalFormatting>
  <pageMargins left="0.75" right="0.75" top="1" bottom="1" header="0.5" footer="0.5"/>
  <pageSetup scale="9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3F717-4FBA-4201-BFE9-ED629788DD9B}">
  <sheetPr codeName="Sheet4312123">
    <pageSetUpPr autoPageBreaks="0" fitToPage="1"/>
  </sheetPr>
  <dimension ref="A1:N54"/>
  <sheetViews>
    <sheetView showGridLines="0" defaultGridColor="0" colorId="8" zoomScaleNormal="100" workbookViewId="0">
      <selection activeCell="H26" sqref="H26"/>
    </sheetView>
  </sheetViews>
  <sheetFormatPr defaultColWidth="10.53515625" defaultRowHeight="12" customHeight="1" x14ac:dyDescent="0.35"/>
  <cols>
    <col min="1" max="1" width="12.69140625" style="1" customWidth="1"/>
    <col min="2" max="2" width="12.15234375" style="1" customWidth="1"/>
    <col min="3" max="3" width="10.921875" style="1" customWidth="1"/>
    <col min="4" max="4" width="12.15234375" style="1" customWidth="1"/>
    <col min="5" max="5" width="11.3828125" style="1" customWidth="1"/>
    <col min="6" max="6" width="12.69140625" style="1" bestFit="1" customWidth="1"/>
    <col min="7" max="7" width="10.765625" style="1" customWidth="1"/>
    <col min="8" max="13" width="12.15234375" style="1" customWidth="1"/>
    <col min="14" max="14" width="10.3828125" style="1" customWidth="1"/>
    <col min="15" max="16384" width="10.53515625" style="1"/>
  </cols>
  <sheetData>
    <row r="1" spans="1:14" ht="6" customHeight="1" x14ac:dyDescent="0.35"/>
    <row r="2" spans="1:14" ht="18" customHeight="1" x14ac:dyDescent="0.5">
      <c r="A2" s="4" t="str">
        <f>[1]Blank42!A704</f>
        <v>Company:</v>
      </c>
      <c r="B2" s="238" t="str">
        <f>[1]Blank42!B704</f>
        <v>Best Business, Inc.</v>
      </c>
      <c r="F2" s="297" t="str">
        <f>[1]Blank42!F703</f>
        <v>25 Year Valuation Analysis</v>
      </c>
    </row>
    <row r="3" spans="1:14" ht="15" customHeight="1" x14ac:dyDescent="0.35">
      <c r="A3" s="4" t="str">
        <f>[1]Blank42!A703</f>
        <v>Prepared for:</v>
      </c>
      <c r="B3" s="243" t="str">
        <f>[1]Blank42!B703</f>
        <v>Mr. Client</v>
      </c>
      <c r="C3" s="241"/>
      <c r="E3" s="4" t="str">
        <f>[1]Blank42!H704</f>
        <v>Prepared by:</v>
      </c>
      <c r="F3" s="243" t="str">
        <f>[1]Blank42!I704</f>
        <v>Illinois Corporate Investments Inc.</v>
      </c>
      <c r="G3" s="245"/>
      <c r="H3" s="245"/>
      <c r="I3" s="245"/>
      <c r="J3" s="4" t="str">
        <f>[1]Blank42!E704</f>
        <v>Preparer:</v>
      </c>
      <c r="K3" s="243" t="str">
        <f>[1]Blank42!F704</f>
        <v>Mr. Professional</v>
      </c>
    </row>
    <row r="4" spans="1:14" ht="6" customHeight="1" x14ac:dyDescent="0.35"/>
    <row r="5" spans="1:14" ht="12" customHeight="1" x14ac:dyDescent="0.35">
      <c r="D5" s="92"/>
      <c r="E5" s="92"/>
      <c r="F5" s="92"/>
      <c r="G5" s="92"/>
      <c r="H5" s="92"/>
      <c r="I5" s="92"/>
      <c r="J5" s="92"/>
      <c r="L5" s="248">
        <f ca="1">[1]Blank42!$M$703</f>
        <v>44412.60115613426</v>
      </c>
      <c r="M5" s="248"/>
      <c r="N5" s="4" t="s">
        <v>96</v>
      </c>
    </row>
    <row r="6" spans="1:14" ht="12" customHeight="1" x14ac:dyDescent="0.4">
      <c r="A6" s="97"/>
      <c r="B6" s="97"/>
      <c r="C6" s="397"/>
      <c r="D6" s="398" t="str">
        <f>[1]Blank42!D706</f>
        <v>Year0</v>
      </c>
      <c r="E6" s="398" t="str">
        <f>[1]Blank42!E706</f>
        <v>Year1</v>
      </c>
      <c r="F6" s="398" t="str">
        <f>[1]Blank42!F706</f>
        <v>Year2</v>
      </c>
      <c r="G6" s="398" t="str">
        <f>[1]Blank42!G706</f>
        <v>Year3</v>
      </c>
      <c r="H6" s="398" t="str">
        <f>[1]Blank42!H706</f>
        <v>Year4</v>
      </c>
      <c r="I6" s="399" t="str">
        <f>[1]Blank42!I706</f>
        <v>Year5</v>
      </c>
      <c r="J6" s="400" t="str">
        <f>[1]Blank42!J706</f>
        <v xml:space="preserve"> Y 6- 10</v>
      </c>
      <c r="K6" s="400" t="str">
        <f>[1]Blank42!K706</f>
        <v>Y 11- 15</v>
      </c>
      <c r="L6" s="400" t="str">
        <f>[1]Blank42!L706</f>
        <v>Y 16- 20</v>
      </c>
      <c r="M6" s="400" t="str">
        <f>[1]Blank42!M706</f>
        <v>Y 21- 25+</v>
      </c>
      <c r="N6" s="397"/>
    </row>
    <row r="7" spans="1:14" ht="6" customHeight="1" x14ac:dyDescent="0.35">
      <c r="A7" s="56"/>
      <c r="B7" s="56"/>
      <c r="C7" s="257"/>
      <c r="D7" s="20"/>
      <c r="E7" s="20"/>
      <c r="F7" s="20"/>
      <c r="G7" s="20"/>
      <c r="H7" s="20"/>
      <c r="I7" s="257"/>
      <c r="J7" s="257"/>
      <c r="K7" s="257"/>
      <c r="L7" s="257"/>
      <c r="M7" s="257"/>
      <c r="N7" s="401"/>
    </row>
    <row r="8" spans="1:14" ht="15" customHeight="1" x14ac:dyDescent="0.4">
      <c r="A8" s="56"/>
      <c r="B8" s="56"/>
      <c r="C8" s="402" t="s">
        <v>97</v>
      </c>
      <c r="D8" s="20"/>
      <c r="E8" s="20"/>
      <c r="F8" s="20"/>
      <c r="G8" s="20"/>
      <c r="H8" s="20"/>
      <c r="I8" s="257"/>
      <c r="J8" s="257"/>
      <c r="K8" s="257"/>
      <c r="L8" s="257"/>
      <c r="M8" s="257"/>
      <c r="N8" s="401"/>
    </row>
    <row r="9" spans="1:14" ht="12" customHeight="1" x14ac:dyDescent="0.35">
      <c r="A9" s="56"/>
      <c r="B9" s="56"/>
      <c r="C9" s="280" t="str">
        <f>[1]Blank42!C708</f>
        <v>Sales Growth per yr</v>
      </c>
      <c r="D9" s="352" t="str">
        <f>[1]Blank42!D708</f>
        <v>-</v>
      </c>
      <c r="E9" s="403">
        <f>[1]Blank42!E708</f>
        <v>0.05</v>
      </c>
      <c r="F9" s="403">
        <f>[1]Blank42!F708</f>
        <v>0.05</v>
      </c>
      <c r="G9" s="403">
        <f>[1]Blank42!G708</f>
        <v>0.05</v>
      </c>
      <c r="H9" s="403">
        <f>[1]Blank42!H708</f>
        <v>0.05</v>
      </c>
      <c r="I9" s="403">
        <f>[1]Blank42!I708</f>
        <v>0.05</v>
      </c>
      <c r="J9" s="403">
        <f>[1]Blank42!J708</f>
        <v>0.05</v>
      </c>
      <c r="K9" s="403">
        <f>[1]Blank42!K708</f>
        <v>0.05</v>
      </c>
      <c r="L9" s="403">
        <f>[1]Blank42!L708</f>
        <v>0.05</v>
      </c>
      <c r="M9" s="403">
        <f>[1]Blank42!M708</f>
        <v>0</v>
      </c>
      <c r="N9" s="401"/>
    </row>
    <row r="10" spans="1:14" ht="12" customHeight="1" x14ac:dyDescent="0.35">
      <c r="A10" s="56"/>
      <c r="B10" s="404"/>
      <c r="C10" s="405" t="str">
        <f>[1]Blank42!$C$709</f>
        <v>EBITDA % Margin per yr</v>
      </c>
      <c r="D10" s="406">
        <f>[1]Blank42!D709</f>
        <v>0.15</v>
      </c>
      <c r="E10" s="406">
        <f>[1]Blank42!E709</f>
        <v>0.15</v>
      </c>
      <c r="F10" s="406">
        <f>[1]Blank42!F709</f>
        <v>0.15</v>
      </c>
      <c r="G10" s="406">
        <f>[1]Blank42!G709</f>
        <v>0.15</v>
      </c>
      <c r="H10" s="406">
        <f>[1]Blank42!H709</f>
        <v>0.15</v>
      </c>
      <c r="I10" s="406">
        <f>[1]Blank42!I709</f>
        <v>0.15</v>
      </c>
      <c r="J10" s="406">
        <f>[1]Blank42!J709</f>
        <v>0.15</v>
      </c>
      <c r="K10" s="406">
        <f>[1]Blank42!K709</f>
        <v>0.15</v>
      </c>
      <c r="L10" s="406">
        <f>[1]Blank42!L709</f>
        <v>0.15</v>
      </c>
      <c r="M10" s="406">
        <f>[1]Blank42!M709</f>
        <v>0.15</v>
      </c>
      <c r="N10" s="401"/>
    </row>
    <row r="11" spans="1:14" ht="12" customHeight="1" x14ac:dyDescent="0.35">
      <c r="A11" s="56"/>
      <c r="B11" s="56"/>
      <c r="C11" s="280" t="str">
        <f>[1]Blank42!C710</f>
        <v>Expected Pre-Tax ROE (%)</v>
      </c>
      <c r="D11" s="352" t="str">
        <f>[1]Blank42!D710</f>
        <v>-</v>
      </c>
      <c r="E11" s="403">
        <f>[1]Blank42!E710</f>
        <v>0.35</v>
      </c>
      <c r="F11" s="407">
        <f>[1]Blank42!F710</f>
        <v>0.35</v>
      </c>
      <c r="G11" s="407">
        <f>[1]Blank42!G710</f>
        <v>0.35</v>
      </c>
      <c r="H11" s="407">
        <f>[1]Blank42!H710</f>
        <v>0.35</v>
      </c>
      <c r="I11" s="403">
        <f>[1]Blank42!I710</f>
        <v>0.35</v>
      </c>
      <c r="J11" s="403">
        <f>[1]Blank42!J710</f>
        <v>0.35</v>
      </c>
      <c r="K11" s="403">
        <f>[1]Blank42!K710</f>
        <v>0.35</v>
      </c>
      <c r="L11" s="403">
        <f>[1]Blank42!L710</f>
        <v>0.35</v>
      </c>
      <c r="M11" s="403">
        <f>[1]Blank42!M710</f>
        <v>0.35</v>
      </c>
      <c r="N11" s="401"/>
    </row>
    <row r="12" spans="1:14" ht="12" customHeight="1" x14ac:dyDescent="0.35">
      <c r="A12" s="56"/>
      <c r="B12" s="404"/>
      <c r="C12" s="405" t="str">
        <f>[1]Blank42!C711</f>
        <v>Cap. Exp. (% of EBITDA) per yr</v>
      </c>
      <c r="D12" s="408" t="str">
        <f>[1]Blank42!D711</f>
        <v>-</v>
      </c>
      <c r="E12" s="406">
        <f>[1]Blank42!E711</f>
        <v>0.1</v>
      </c>
      <c r="F12" s="406">
        <f>[1]Blank42!F711</f>
        <v>0.1</v>
      </c>
      <c r="G12" s="406">
        <f>[1]Blank42!G711</f>
        <v>0.1</v>
      </c>
      <c r="H12" s="406">
        <f>[1]Blank42!H711</f>
        <v>0.1</v>
      </c>
      <c r="I12" s="406">
        <f>[1]Blank42!I711</f>
        <v>0.1</v>
      </c>
      <c r="J12" s="406">
        <f>[1]Blank42!J711</f>
        <v>0.1</v>
      </c>
      <c r="K12" s="406">
        <f>[1]Blank42!K711</f>
        <v>0.1</v>
      </c>
      <c r="L12" s="406">
        <f>[1]Blank42!L711</f>
        <v>0.1</v>
      </c>
      <c r="M12" s="406">
        <f>[1]Blank42!M711</f>
        <v>0.1</v>
      </c>
      <c r="N12" s="401"/>
    </row>
    <row r="13" spans="1:14" ht="12" customHeight="1" x14ac:dyDescent="0.35">
      <c r="A13" s="56"/>
      <c r="B13" s="56"/>
      <c r="C13" s="280" t="str">
        <f>[1]Blank42!C712</f>
        <v>Term Loan: Amortization (yrs)</v>
      </c>
      <c r="D13" s="352" t="str">
        <f>[1]Blank42!D712</f>
        <v>-</v>
      </c>
      <c r="E13" s="409">
        <f>[1]Blank42!E712</f>
        <v>5</v>
      </c>
      <c r="F13" s="410">
        <f>[1]Blank42!F712</f>
        <v>5</v>
      </c>
      <c r="G13" s="410">
        <f>[1]Blank42!G712</f>
        <v>5</v>
      </c>
      <c r="H13" s="410">
        <f>[1]Blank42!H712</f>
        <v>5</v>
      </c>
      <c r="I13" s="409">
        <f>[1]Blank42!I712</f>
        <v>5</v>
      </c>
      <c r="J13" s="409">
        <f>[1]Blank42!J712</f>
        <v>5</v>
      </c>
      <c r="K13" s="409">
        <f>[1]Blank42!K712</f>
        <v>5</v>
      </c>
      <c r="L13" s="409">
        <f>[1]Blank42!L712</f>
        <v>5</v>
      </c>
      <c r="M13" s="409">
        <f>[1]Blank42!M712</f>
        <v>5</v>
      </c>
      <c r="N13" s="401"/>
    </row>
    <row r="14" spans="1:14" ht="12" customHeight="1" x14ac:dyDescent="0.35">
      <c r="A14" s="56"/>
      <c r="B14" s="404"/>
      <c r="C14" s="405" t="str">
        <f>[1]Blank42!C713</f>
        <v>Term Loan: Interest Rate</v>
      </c>
      <c r="D14" s="408" t="str">
        <f>[1]Blank42!D713</f>
        <v>-</v>
      </c>
      <c r="E14" s="406">
        <f>[1]Blank42!E713</f>
        <v>0.1</v>
      </c>
      <c r="F14" s="411">
        <f>[1]Blank42!F713</f>
        <v>0.1</v>
      </c>
      <c r="G14" s="411">
        <f>[1]Blank42!G713</f>
        <v>0.1</v>
      </c>
      <c r="H14" s="411">
        <f>[1]Blank42!H713</f>
        <v>0.1</v>
      </c>
      <c r="I14" s="406">
        <f>[1]Blank42!I713</f>
        <v>0.1</v>
      </c>
      <c r="J14" s="406">
        <f>[1]Blank42!J713</f>
        <v>0.1</v>
      </c>
      <c r="K14" s="406">
        <f>[1]Blank42!K713</f>
        <v>0.1</v>
      </c>
      <c r="L14" s="406">
        <f>[1]Blank42!L713</f>
        <v>0.1</v>
      </c>
      <c r="M14" s="406">
        <f>[1]Blank42!M713</f>
        <v>0.1</v>
      </c>
      <c r="N14" s="401"/>
    </row>
    <row r="15" spans="1:14" ht="12" customHeight="1" x14ac:dyDescent="0.35">
      <c r="A15" s="56"/>
      <c r="B15" s="56"/>
      <c r="C15" s="280" t="str">
        <f>[1]Blank42!C714</f>
        <v>Gap (Seller) Note: Amort. (yrs)</v>
      </c>
      <c r="D15" s="352" t="str">
        <f>[1]Blank42!D714</f>
        <v>-</v>
      </c>
      <c r="E15" s="409">
        <f>[1]Blank42!E714</f>
        <v>5</v>
      </c>
      <c r="F15" s="410">
        <f>[1]Blank42!F714</f>
        <v>5</v>
      </c>
      <c r="G15" s="410">
        <f>[1]Blank42!G714</f>
        <v>5</v>
      </c>
      <c r="H15" s="410">
        <f>[1]Blank42!H714</f>
        <v>5</v>
      </c>
      <c r="I15" s="409">
        <f>[1]Blank42!I714</f>
        <v>5</v>
      </c>
      <c r="J15" s="409">
        <f>[1]Blank42!J714</f>
        <v>5</v>
      </c>
      <c r="K15" s="409">
        <f>[1]Blank42!K714</f>
        <v>5</v>
      </c>
      <c r="L15" s="409">
        <f>[1]Blank42!L714</f>
        <v>5</v>
      </c>
      <c r="M15" s="409">
        <f>[1]Blank42!M714</f>
        <v>5</v>
      </c>
      <c r="N15" s="401"/>
    </row>
    <row r="16" spans="1:14" ht="12" customHeight="1" x14ac:dyDescent="0.35">
      <c r="A16" s="56"/>
      <c r="B16" s="404"/>
      <c r="C16" s="405" t="str">
        <f>[1]Blank42!C715</f>
        <v>Gap (Seller) Note: Interest Rate</v>
      </c>
      <c r="D16" s="408" t="str">
        <f>[1]Blank42!D715</f>
        <v>-</v>
      </c>
      <c r="E16" s="406">
        <f>[1]Blank42!E715</f>
        <v>0.1</v>
      </c>
      <c r="F16" s="411">
        <f>[1]Blank42!F715</f>
        <v>0.1</v>
      </c>
      <c r="G16" s="411">
        <f>[1]Blank42!G715</f>
        <v>0.1</v>
      </c>
      <c r="H16" s="411">
        <f>[1]Blank42!H715</f>
        <v>0.1</v>
      </c>
      <c r="I16" s="406">
        <f>[1]Blank42!I715</f>
        <v>0.1</v>
      </c>
      <c r="J16" s="406">
        <f>[1]Blank42!J715</f>
        <v>0.1</v>
      </c>
      <c r="K16" s="406">
        <f>[1]Blank42!K715</f>
        <v>0.1</v>
      </c>
      <c r="L16" s="406">
        <f>[1]Blank42!L715</f>
        <v>0.1</v>
      </c>
      <c r="M16" s="406">
        <f>[1]Blank42!M715</f>
        <v>0.1</v>
      </c>
      <c r="N16" s="401"/>
    </row>
    <row r="17" spans="1:14" ht="12" customHeight="1" x14ac:dyDescent="0.35">
      <c r="A17" s="56"/>
      <c r="B17" s="56"/>
      <c r="C17" s="280" t="str">
        <f>[1]Blank42!C716</f>
        <v>Buyer's Corp. Structure (S or C)</v>
      </c>
      <c r="D17" s="352" t="str">
        <f>[1]Blank42!D716</f>
        <v>-</v>
      </c>
      <c r="E17" s="412" t="str">
        <f>[1]Blank42!E716</f>
        <v>S</v>
      </c>
      <c r="F17" s="407" t="str">
        <f>[1]Blank42!F716</f>
        <v>S</v>
      </c>
      <c r="G17" s="407" t="str">
        <f>[1]Blank42!G716</f>
        <v>S</v>
      </c>
      <c r="H17" s="407" t="str">
        <f>[1]Blank42!H716</f>
        <v>S</v>
      </c>
      <c r="I17" s="403" t="str">
        <f>[1]Blank42!I716</f>
        <v>S</v>
      </c>
      <c r="J17" s="403" t="str">
        <f>[1]Blank42!J716</f>
        <v>S</v>
      </c>
      <c r="K17" s="403" t="str">
        <f>[1]Blank42!K716</f>
        <v>S</v>
      </c>
      <c r="L17" s="403" t="str">
        <f>[1]Blank42!L716</f>
        <v>S</v>
      </c>
      <c r="M17" s="412" t="str">
        <f>[1]Blank42!M716</f>
        <v>S</v>
      </c>
      <c r="N17" s="401"/>
    </row>
    <row r="18" spans="1:14" ht="12" customHeight="1" x14ac:dyDescent="0.35">
      <c r="A18" s="56"/>
      <c r="B18" s="404"/>
      <c r="C18" s="405" t="str">
        <f>[1]Blank42!C717</f>
        <v>Asset or Stock Purchase</v>
      </c>
      <c r="D18" s="408" t="str">
        <f>[1]Blank42!D717</f>
        <v>-</v>
      </c>
      <c r="E18" s="413" t="str">
        <f>[1]Blank42!E717</f>
        <v>A</v>
      </c>
      <c r="F18" s="411" t="str">
        <f>[1]Blank42!F717</f>
        <v>A</v>
      </c>
      <c r="G18" s="411" t="str">
        <f>[1]Blank42!G717</f>
        <v>A</v>
      </c>
      <c r="H18" s="411" t="str">
        <f>[1]Blank42!H717</f>
        <v>A</v>
      </c>
      <c r="I18" s="406" t="str">
        <f>[1]Blank42!I717</f>
        <v>A</v>
      </c>
      <c r="J18" s="406" t="str">
        <f>[1]Blank42!J717</f>
        <v>A</v>
      </c>
      <c r="K18" s="406" t="str">
        <f>[1]Blank42!K717</f>
        <v>A</v>
      </c>
      <c r="L18" s="406" t="str">
        <f>[1]Blank42!L717</f>
        <v>A</v>
      </c>
      <c r="M18" s="413" t="str">
        <f>[1]Blank42!M717</f>
        <v>A</v>
      </c>
      <c r="N18" s="401"/>
    </row>
    <row r="19" spans="1:14" ht="12" customHeight="1" x14ac:dyDescent="0.35">
      <c r="A19" s="56"/>
      <c r="B19" s="56"/>
      <c r="C19" s="280" t="str">
        <f>[1]Blank42!C718</f>
        <v>A/R # of days</v>
      </c>
      <c r="D19" s="414">
        <f>[1]Blank42!D718</f>
        <v>43.8</v>
      </c>
      <c r="E19" s="414">
        <f>[1]Blank42!E718</f>
        <v>43.8</v>
      </c>
      <c r="F19" s="415">
        <f>[1]Blank42!F718</f>
        <v>43.8</v>
      </c>
      <c r="G19" s="415">
        <f>[1]Blank42!G718</f>
        <v>43.8</v>
      </c>
      <c r="H19" s="415">
        <f>[1]Blank42!H718</f>
        <v>43.8</v>
      </c>
      <c r="I19" s="414">
        <f>[1]Blank42!I718</f>
        <v>43.8</v>
      </c>
      <c r="J19" s="414">
        <f>[1]Blank42!J718</f>
        <v>43.8</v>
      </c>
      <c r="K19" s="414">
        <f>[1]Blank42!K718</f>
        <v>43.8</v>
      </c>
      <c r="L19" s="414">
        <f>[1]Blank42!L718</f>
        <v>43.8</v>
      </c>
      <c r="M19" s="414">
        <f>[1]Blank42!M718</f>
        <v>43.8</v>
      </c>
      <c r="N19" s="401"/>
    </row>
    <row r="20" spans="1:14" ht="12" customHeight="1" x14ac:dyDescent="0.35">
      <c r="A20" s="56"/>
      <c r="B20" s="56"/>
      <c r="C20" s="280" t="str">
        <f>[1]Blank42!C719</f>
        <v>Inventory Turns (Sales/Inv)</v>
      </c>
      <c r="D20" s="314">
        <f>[1]Blank42!D719</f>
        <v>5.5555555555555554</v>
      </c>
      <c r="E20" s="414">
        <f>[1]Blank42!E719</f>
        <v>5.5555555555555554</v>
      </c>
      <c r="F20" s="415">
        <f>[1]Blank42!F719</f>
        <v>5.5555555555555554</v>
      </c>
      <c r="G20" s="415">
        <f>[1]Blank42!G719</f>
        <v>5.5555555555555554</v>
      </c>
      <c r="H20" s="415">
        <f>[1]Blank42!H719</f>
        <v>5.5555555555555554</v>
      </c>
      <c r="I20" s="414">
        <f>[1]Blank42!I719</f>
        <v>5.5555555555555554</v>
      </c>
      <c r="J20" s="414">
        <f>[1]Blank42!J719</f>
        <v>5.5555555555555554</v>
      </c>
      <c r="K20" s="414">
        <f>[1]Blank42!K719</f>
        <v>5.5555555555555554</v>
      </c>
      <c r="L20" s="414">
        <f>[1]Blank42!L719</f>
        <v>5.5555555555555554</v>
      </c>
      <c r="M20" s="414">
        <f>[1]Blank42!M719</f>
        <v>5.5555555555555554</v>
      </c>
      <c r="N20" s="401"/>
    </row>
    <row r="21" spans="1:14" ht="12" customHeight="1" x14ac:dyDescent="0.35">
      <c r="A21" s="56"/>
      <c r="B21" s="404"/>
      <c r="C21" s="405" t="str">
        <f>[1]Blank42!C720</f>
        <v>A/P (%of Sales)</v>
      </c>
      <c r="D21" s="406">
        <f>[1]Blank42!D720</f>
        <v>0.06</v>
      </c>
      <c r="E21" s="406">
        <f>[1]Blank42!E720</f>
        <v>0.06</v>
      </c>
      <c r="F21" s="411">
        <f>[1]Blank42!F720</f>
        <v>0.06</v>
      </c>
      <c r="G21" s="411">
        <f>[1]Blank42!G720</f>
        <v>0.06</v>
      </c>
      <c r="H21" s="411">
        <f>[1]Blank42!H720</f>
        <v>0.06</v>
      </c>
      <c r="I21" s="406">
        <f>[1]Blank42!I720</f>
        <v>0.06</v>
      </c>
      <c r="J21" s="406">
        <f>[1]Blank42!J720</f>
        <v>0.06</v>
      </c>
      <c r="K21" s="406">
        <f>[1]Blank42!K720</f>
        <v>0.06</v>
      </c>
      <c r="L21" s="406">
        <f>[1]Blank42!L720</f>
        <v>0.06</v>
      </c>
      <c r="M21" s="406">
        <f>[1]Blank42!M720</f>
        <v>0.06</v>
      </c>
      <c r="N21" s="401"/>
    </row>
    <row r="22" spans="1:14" ht="6" customHeight="1" x14ac:dyDescent="0.35">
      <c r="A22" s="56"/>
      <c r="B22" s="56"/>
      <c r="C22" s="337"/>
      <c r="D22" s="416"/>
      <c r="E22" s="403"/>
      <c r="F22" s="407"/>
      <c r="G22" s="407"/>
      <c r="H22" s="407"/>
      <c r="I22" s="403"/>
      <c r="J22" s="403"/>
      <c r="K22" s="403"/>
      <c r="L22" s="403"/>
      <c r="M22" s="403"/>
      <c r="N22" s="401"/>
    </row>
    <row r="23" spans="1:14" ht="12" customHeight="1" x14ac:dyDescent="0.35">
      <c r="A23" s="56"/>
      <c r="B23" s="56"/>
      <c r="C23" s="280" t="s">
        <v>98</v>
      </c>
      <c r="D23" s="417" t="s">
        <v>99</v>
      </c>
      <c r="E23" s="418"/>
      <c r="F23" s="419"/>
      <c r="G23" s="419"/>
      <c r="H23" s="419"/>
      <c r="I23" s="401"/>
      <c r="J23" s="401"/>
      <c r="K23" s="401"/>
      <c r="L23" s="401"/>
      <c r="M23" s="401"/>
      <c r="N23" s="401"/>
    </row>
    <row r="24" spans="1:14" ht="6" customHeight="1" x14ac:dyDescent="0.35">
      <c r="A24" s="56"/>
      <c r="B24" s="56"/>
      <c r="C24" s="337"/>
      <c r="D24" s="418"/>
      <c r="E24" s="418"/>
      <c r="F24" s="419"/>
      <c r="G24" s="419"/>
      <c r="H24" s="419"/>
      <c r="I24" s="401"/>
      <c r="J24" s="401"/>
      <c r="K24" s="401"/>
      <c r="L24" s="401"/>
      <c r="M24" s="401"/>
      <c r="N24" s="401"/>
    </row>
    <row r="25" spans="1:14" ht="12" customHeight="1" x14ac:dyDescent="0.35">
      <c r="A25" s="56"/>
      <c r="B25" s="56"/>
      <c r="C25" s="257"/>
      <c r="D25" s="420"/>
      <c r="E25" s="20"/>
      <c r="F25" s="20"/>
      <c r="G25" s="20"/>
      <c r="H25" s="20"/>
      <c r="I25" s="257"/>
      <c r="J25" s="257"/>
      <c r="K25" s="257"/>
      <c r="L25" s="257"/>
      <c r="M25" s="257"/>
      <c r="N25" s="401"/>
    </row>
    <row r="26" spans="1:14" ht="15" customHeight="1" x14ac:dyDescent="0.4">
      <c r="A26" s="421"/>
      <c r="B26" s="422"/>
      <c r="C26" s="423" t="str">
        <f>[1]Blank42!C746</f>
        <v>25 Year Analysis</v>
      </c>
      <c r="D26" s="424" t="str">
        <f>[1]Blank42!D746</f>
        <v>Year 0</v>
      </c>
      <c r="E26" s="49"/>
      <c r="F26" s="20"/>
      <c r="G26" s="337"/>
      <c r="H26" s="38" t="str">
        <f>[1]Blank42!H746</f>
        <v>Year0</v>
      </c>
      <c r="I26" s="425" t="str">
        <f>[1]Blank42!I746</f>
        <v>Year5</v>
      </c>
      <c r="J26" s="425" t="str">
        <f>[1]Blank42!J746</f>
        <v>Year10</v>
      </c>
      <c r="K26" s="425" t="str">
        <f>[1]Blank42!K746</f>
        <v>Year15</v>
      </c>
      <c r="L26" s="425" t="str">
        <f>[1]Blank42!L746</f>
        <v>Year20</v>
      </c>
      <c r="M26" s="425" t="str">
        <f>[1]Blank42!M746</f>
        <v>Year25</v>
      </c>
      <c r="N26" s="401"/>
    </row>
    <row r="27" spans="1:14" ht="15" customHeight="1" x14ac:dyDescent="0.4">
      <c r="A27" s="421"/>
      <c r="B27" s="426"/>
      <c r="C27" s="427" t="str">
        <f>[1]Blank42!C747</f>
        <v>Enterprise Value</v>
      </c>
      <c r="D27" s="428">
        <f>IF([1]Blank42!D747=0,FIXED(0,0,0),[1]Blank42!D747)</f>
        <v>3672.6401479861734</v>
      </c>
      <c r="E27" s="429"/>
      <c r="F27" s="20"/>
      <c r="G27" s="280" t="str">
        <f>[1]Blank42!G747</f>
        <v>Sales</v>
      </c>
      <c r="H27" s="45" t="str">
        <f>IF([1]Blank42!H747=0,FIXED(0,0,0),[1]Blank42!H747)</f>
        <v>5000</v>
      </c>
      <c r="I27" s="45">
        <f>IF([1]Blank42!I747=0,FIXED(0,0,0),[1]Blank42!I747)</f>
        <v>6381.4078125000005</v>
      </c>
      <c r="J27" s="45">
        <f>IF([1]Blank42!J747=0,FIXED(0,0,0),[1]Blank42!J747)</f>
        <v>8144.4731338872089</v>
      </c>
      <c r="K27" s="45">
        <f>IF([1]Blank42!K747=0,FIXED(0,0,0),[1]Blank42!K747)</f>
        <v>10394.640897056839</v>
      </c>
      <c r="L27" s="45">
        <f>IF([1]Blank42!L747=0,FIXED(0,0,0),[1]Blank42!L747)</f>
        <v>13266.488525722105</v>
      </c>
      <c r="M27" s="45">
        <f>IF([1]Blank42!M747=0,FIXED(0,0,0),[1]Blank42!M747)</f>
        <v>13266.488525722105</v>
      </c>
      <c r="N27" s="401"/>
    </row>
    <row r="28" spans="1:14" ht="15" customHeight="1" x14ac:dyDescent="0.4">
      <c r="A28" s="421"/>
      <c r="B28" s="430"/>
      <c r="C28" s="431" t="str">
        <f>[1]Blank42!C748</f>
        <v>EBITDA</v>
      </c>
      <c r="D28" s="428">
        <f>IF([1]Blank42!D748=0,FIXED(0,0,0),[1]Blank42!D748)</f>
        <v>750</v>
      </c>
      <c r="E28" s="49"/>
      <c r="F28" s="20"/>
      <c r="G28" s="280" t="str">
        <f>[1]Blank42!G748</f>
        <v>EBITDA</v>
      </c>
      <c r="H28" s="45">
        <f>IF([1]Blank42!H748=0,FIXED(0,0,0),[1]Blank42!H748)</f>
        <v>750</v>
      </c>
      <c r="I28" s="45">
        <f>IF([1]Blank42!I748=0,FIXED(0,0,0),[1]Blank42!I748)</f>
        <v>957.21117187499999</v>
      </c>
      <c r="J28" s="45">
        <f>IF([1]Blank42!J748=0,FIXED(0,0,0),[1]Blank42!J748)</f>
        <v>1221.6709700830813</v>
      </c>
      <c r="K28" s="45">
        <f>IF([1]Blank42!K748=0,FIXED(0,0,0),[1]Blank42!K748)</f>
        <v>1559.1961345585257</v>
      </c>
      <c r="L28" s="45">
        <f>IF([1]Blank42!L748=0,FIXED(0,0,0),[1]Blank42!L748)</f>
        <v>1989.9732788583156</v>
      </c>
      <c r="M28" s="45">
        <f>IF([1]Blank42!M748=0,FIXED(0,0,0),[1]Blank42!M748)</f>
        <v>1989.9732788583156</v>
      </c>
      <c r="N28" s="401"/>
    </row>
    <row r="29" spans="1:14" ht="15" customHeight="1" x14ac:dyDescent="0.4">
      <c r="A29" s="421"/>
      <c r="B29" s="432"/>
      <c r="C29" s="433" t="str">
        <f>[1]Blank42!C749</f>
        <v>EBITDA Multiple</v>
      </c>
      <c r="D29" s="434">
        <f>IF([1]Blank42!D749=0,FIXED(0,0,0),[1]Blank42!D749)</f>
        <v>4.8968535306482313</v>
      </c>
      <c r="E29" s="49"/>
      <c r="F29" s="20"/>
      <c r="G29" s="280" t="str">
        <f>[1]Blank42!G749</f>
        <v>Enterprise Value</v>
      </c>
      <c r="H29" s="45">
        <f>IF([1]Blank42!H749=0,FIXED(0,0,0),[1]Blank42!H749)</f>
        <v>3672.6401479861734</v>
      </c>
      <c r="I29" s="45">
        <f>IF([1]Blank42!I749=0,FIXED(0,0,0),[1]Blank42!I749)</f>
        <v>4679.9254595427037</v>
      </c>
      <c r="J29" s="45">
        <f>IF([1]Blank42!J749=0,FIXED(0,0,0),[1]Blank42!J749)</f>
        <v>5972.9025778886944</v>
      </c>
      <c r="K29" s="45">
        <f>IF([1]Blank42!K749=0,FIXED(0,0,0),[1]Blank42!K749)</f>
        <v>7623.1054347680601</v>
      </c>
      <c r="L29" s="45">
        <f>IF([1]Blank42!L749=0,FIXED(0,0,0),[1]Blank42!L749)</f>
        <v>9729.2289153880229</v>
      </c>
      <c r="M29" s="45">
        <f>IF([1]Blank42!M749=0,FIXED(0,0,0),[1]Blank42!M749)</f>
        <v>9729.2289153880229</v>
      </c>
      <c r="N29" s="401"/>
    </row>
    <row r="30" spans="1:14" ht="12" customHeight="1" x14ac:dyDescent="0.35">
      <c r="A30" s="56"/>
      <c r="B30" s="56"/>
      <c r="C30" s="337"/>
      <c r="D30" s="435"/>
      <c r="E30" s="435"/>
      <c r="F30" s="435"/>
      <c r="G30" s="436"/>
      <c r="H30" s="435"/>
      <c r="I30" s="435"/>
      <c r="J30" s="20"/>
      <c r="K30" s="20"/>
      <c r="L30" s="20"/>
      <c r="M30" s="20"/>
      <c r="N30" s="401"/>
    </row>
    <row r="31" spans="1:14" ht="12" customHeight="1" x14ac:dyDescent="0.35">
      <c r="A31" s="56"/>
      <c r="B31" s="56"/>
      <c r="C31" s="337"/>
      <c r="D31" s="435"/>
      <c r="E31" s="435"/>
      <c r="F31" s="435"/>
      <c r="G31" s="280" t="str">
        <f>[1]Blank42!G742</f>
        <v>Purchase Multiple (PM)</v>
      </c>
      <c r="H31" s="337"/>
      <c r="I31" s="437">
        <f>[1]Blank42!I742</f>
        <v>4.8968535306482313</v>
      </c>
      <c r="J31" s="437">
        <f>[1]Blank42!J742</f>
        <v>4.889125406231515</v>
      </c>
      <c r="K31" s="437">
        <f>[1]Blank42!K742</f>
        <v>4.889125406231515</v>
      </c>
      <c r="L31" s="437">
        <f>[1]Blank42!L742</f>
        <v>4.889125406231515</v>
      </c>
      <c r="M31" s="437">
        <f>[1]Blank42!M742</f>
        <v>4.889125406231515</v>
      </c>
      <c r="N31" s="401"/>
    </row>
    <row r="32" spans="1:14" ht="3" customHeight="1" x14ac:dyDescent="0.35">
      <c r="A32" s="56"/>
      <c r="B32" s="56"/>
      <c r="C32" s="337"/>
      <c r="D32" s="435"/>
      <c r="E32" s="435"/>
      <c r="F32" s="435"/>
      <c r="G32" s="280"/>
      <c r="H32" s="337"/>
      <c r="I32" s="52"/>
      <c r="J32" s="52"/>
      <c r="K32" s="52"/>
      <c r="L32" s="52"/>
      <c r="M32" s="52"/>
      <c r="N32" s="401"/>
    </row>
    <row r="33" spans="1:14" ht="12" customHeight="1" x14ac:dyDescent="0.35">
      <c r="A33" s="56"/>
      <c r="B33" s="269" t="str">
        <f ca="1">ROUND(A54,0)&amp;[1]Blank42!O11</f>
        <v>8164150</v>
      </c>
      <c r="C33" s="438" t="str">
        <f>[1]Blank42!$A$9</f>
        <v>BVX®</v>
      </c>
      <c r="D33" s="435"/>
      <c r="E33" s="435"/>
      <c r="F33" s="435"/>
      <c r="G33" s="280" t="str">
        <f>[1]Blank42!G744</f>
        <v>Exit Multiple (EM)</v>
      </c>
      <c r="H33" s="337"/>
      <c r="I33" s="437">
        <f>[1]Blank42!I744</f>
        <v>4.889125406231515</v>
      </c>
      <c r="J33" s="437">
        <f>[1]Blank42!J744</f>
        <v>4.889125406231515</v>
      </c>
      <c r="K33" s="437">
        <f>[1]Blank42!K744</f>
        <v>4.889125406231515</v>
      </c>
      <c r="L33" s="437">
        <f>[1]Blank42!L744</f>
        <v>4.889125406231515</v>
      </c>
      <c r="M33" s="437" t="str">
        <f>[1]Blank42!M744</f>
        <v>PM</v>
      </c>
      <c r="N33" s="401"/>
    </row>
    <row r="34" spans="1:14" ht="12" customHeight="1" x14ac:dyDescent="0.35">
      <c r="A34" s="56"/>
      <c r="B34" s="56"/>
      <c r="C34" s="337"/>
      <c r="D34" s="435"/>
      <c r="E34" s="435"/>
      <c r="F34" s="435"/>
      <c r="G34" s="435"/>
      <c r="H34" s="435"/>
      <c r="I34" s="435"/>
      <c r="J34" s="20"/>
      <c r="K34" s="20"/>
      <c r="L34" s="20"/>
      <c r="M34" s="20"/>
      <c r="N34" s="401"/>
    </row>
    <row r="35" spans="1:14" ht="12" customHeight="1" x14ac:dyDescent="0.35">
      <c r="A35" s="280" t="str">
        <f>[1]Blank42!A751</f>
        <v>Note</v>
      </c>
      <c r="B35" s="439" t="str">
        <f>[1]Blank42!B751</f>
        <v>1. Deal 25 assumes perpetual business performance starting Year21. Because, Price Multiples are constant in perpetuity, Exit Muliple in Year25 is equal to Purchase Multiple (PM) at the beginning of Year21. This allows BVX to first value Years 21-25, then Years 16-20, then Years 11-15, and so forth till Year 0.</v>
      </c>
      <c r="C35" s="439"/>
      <c r="D35" s="439"/>
      <c r="E35" s="439"/>
      <c r="F35" s="439"/>
      <c r="G35" s="439"/>
      <c r="H35" s="439"/>
      <c r="I35" s="439"/>
      <c r="J35" s="439"/>
      <c r="K35" s="439"/>
      <c r="L35" s="439"/>
      <c r="M35" s="439"/>
      <c r="N35" s="439"/>
    </row>
    <row r="36" spans="1:14" ht="12" customHeight="1" x14ac:dyDescent="0.35">
      <c r="A36" s="56"/>
      <c r="B36" s="439"/>
      <c r="C36" s="439"/>
      <c r="D36" s="439"/>
      <c r="E36" s="439"/>
      <c r="F36" s="439"/>
      <c r="G36" s="439"/>
      <c r="H36" s="439"/>
      <c r="I36" s="439"/>
      <c r="J36" s="439"/>
      <c r="K36" s="439"/>
      <c r="L36" s="439"/>
      <c r="M36" s="439"/>
      <c r="N36" s="439"/>
    </row>
    <row r="37" spans="1:14" ht="12" customHeight="1" x14ac:dyDescent="0.35">
      <c r="A37" s="56"/>
      <c r="B37" s="440" t="str">
        <f>[1]Blank42!B753</f>
        <v xml:space="preserve">2. Deal 25 assumes that the business is refinanced at the highest value (BVX-Best Value) every 5 years. Net proceeds of refinancing are distributed to the owner. This refinancing assumption maximizes present value (PV) of future cash flows i.e. Enterprise Value. This Enterprise Value is the same as if the business is sold, or deemed to have been sold, at BVX-Best Value, every 5 years. </v>
      </c>
      <c r="C37" s="440"/>
      <c r="D37" s="440"/>
      <c r="E37" s="440"/>
      <c r="F37" s="440"/>
      <c r="G37" s="440"/>
      <c r="H37" s="440"/>
      <c r="I37" s="440"/>
      <c r="J37" s="440"/>
      <c r="K37" s="440"/>
      <c r="L37" s="440"/>
      <c r="M37" s="440"/>
      <c r="N37" s="440"/>
    </row>
    <row r="38" spans="1:14" ht="12" customHeight="1" x14ac:dyDescent="0.35">
      <c r="A38" s="115"/>
      <c r="B38" s="440"/>
      <c r="C38" s="440"/>
      <c r="D38" s="440"/>
      <c r="E38" s="440"/>
      <c r="F38" s="440"/>
      <c r="G38" s="440"/>
      <c r="H38" s="440"/>
      <c r="I38" s="440"/>
      <c r="J38" s="440"/>
      <c r="K38" s="440"/>
      <c r="L38" s="440"/>
      <c r="M38" s="440"/>
      <c r="N38" s="440"/>
    </row>
    <row r="39" spans="1:14" ht="12" customHeight="1" x14ac:dyDescent="0.35">
      <c r="A39" s="56"/>
      <c r="B39" s="440"/>
      <c r="C39" s="440"/>
      <c r="D39" s="440"/>
      <c r="E39" s="440"/>
      <c r="F39" s="440"/>
      <c r="G39" s="440"/>
      <c r="H39" s="440"/>
      <c r="I39" s="440"/>
      <c r="J39" s="440"/>
      <c r="K39" s="440"/>
      <c r="L39" s="440"/>
      <c r="M39" s="440"/>
      <c r="N39" s="440"/>
    </row>
    <row r="40" spans="1:14" ht="12" customHeight="1" x14ac:dyDescent="0.35">
      <c r="A40" s="56"/>
      <c r="B40" s="28" t="str">
        <f>[1]Blank42!B756</f>
        <v>3. Except for the above Input Variables, Deal 25 uses all other inputs from the Overview screen. They are printed on the Valuation Parameters page and are an integral part of this valuation.</v>
      </c>
      <c r="C40" s="56"/>
      <c r="D40" s="56"/>
      <c r="E40" s="56"/>
      <c r="F40" s="56"/>
      <c r="G40" s="56"/>
      <c r="H40" s="56"/>
      <c r="I40" s="56"/>
      <c r="J40" s="20"/>
      <c r="K40" s="20"/>
      <c r="L40" s="20"/>
      <c r="M40" s="20"/>
      <c r="N40" s="401"/>
    </row>
    <row r="41" spans="1:14" ht="12" customHeight="1" x14ac:dyDescent="0.35">
      <c r="A41" s="56"/>
      <c r="B41" s="338"/>
      <c r="C41" s="337"/>
      <c r="D41" s="34"/>
      <c r="E41" s="435"/>
      <c r="F41" s="435"/>
      <c r="G41" s="435"/>
      <c r="H41" s="435"/>
      <c r="I41" s="435"/>
      <c r="J41" s="20"/>
      <c r="K41" s="20"/>
      <c r="L41" s="20"/>
      <c r="M41" s="20"/>
      <c r="N41" s="401"/>
    </row>
    <row r="54" spans="1:1" ht="12" customHeight="1" x14ac:dyDescent="0.35">
      <c r="A54" s="234">
        <f ca="1">'[1]Valuation 1'!$A$44</f>
        <v>816414.83860721253</v>
      </c>
    </row>
  </sheetData>
  <mergeCells count="3">
    <mergeCell ref="L5:M5"/>
    <mergeCell ref="B35:N36"/>
    <mergeCell ref="B37:N39"/>
  </mergeCells>
  <conditionalFormatting sqref="E9:I9">
    <cfRule type="expression" dxfId="7" priority="1" stopIfTrue="1">
      <formula>LEFT($A65006,1)="y"</formula>
    </cfRule>
  </conditionalFormatting>
  <conditionalFormatting sqref="E10:I10 I11:I18">
    <cfRule type="expression" dxfId="6" priority="2" stopIfTrue="1">
      <formula>LEFT($A65011,1)="y"</formula>
    </cfRule>
  </conditionalFormatting>
  <conditionalFormatting sqref="E12:H12">
    <cfRule type="expression" dxfId="5" priority="3" stopIfTrue="1">
      <formula>LEFT($A65016,1)="y"</formula>
    </cfRule>
  </conditionalFormatting>
  <pageMargins left="0.75" right="0.75" top="1" bottom="1" header="0.5" footer="0.5"/>
  <pageSetup scale="87"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59F4-0E62-48E6-B01C-25AB2C809694}">
  <sheetPr codeName="Sheet10">
    <pageSetUpPr fitToPage="1"/>
  </sheetPr>
  <dimension ref="A1:N57"/>
  <sheetViews>
    <sheetView showGridLines="0" zoomScaleNormal="100" workbookViewId="0"/>
  </sheetViews>
  <sheetFormatPr defaultRowHeight="12.75" x14ac:dyDescent="0.35"/>
  <cols>
    <col min="1" max="1" width="12.69140625" style="1" customWidth="1"/>
    <col min="2" max="3" width="9.23046875" style="1"/>
    <col min="4" max="4" width="10.765625" style="1" customWidth="1"/>
    <col min="5" max="10" width="12.1523437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7.649999999999999" x14ac:dyDescent="0.5">
      <c r="A2" s="4" t="str">
        <f>[1]Blank42!A494</f>
        <v>Company:</v>
      </c>
      <c r="B2" s="238" t="str">
        <f>[1]Blank42!B494</f>
        <v>Best Business, Inc.</v>
      </c>
      <c r="F2" s="297" t="str">
        <f>[1]Blank42!F493</f>
        <v>Depreciation Schedule Detail</v>
      </c>
    </row>
    <row r="3" spans="1:14" ht="15" customHeight="1" x14ac:dyDescent="0.35">
      <c r="A3" s="4" t="str">
        <f>[1]Blank42!A493</f>
        <v>Prepared for:</v>
      </c>
      <c r="B3" s="243" t="str">
        <f>[1]Blank42!B493</f>
        <v>Mr. Client</v>
      </c>
      <c r="E3" s="4" t="str">
        <f>[1]Blank42!H494</f>
        <v>Prepared by:</v>
      </c>
      <c r="F3" s="243" t="str">
        <f>[1]Blank42!I494</f>
        <v>Illinois Corporate Investments Inc.</v>
      </c>
      <c r="G3" s="245"/>
      <c r="H3" s="245"/>
      <c r="I3" s="245"/>
      <c r="J3" s="4" t="str">
        <f>[1]Blank42!E494</f>
        <v>Preparer:</v>
      </c>
      <c r="K3" s="243" t="str">
        <f>[1]Blank42!F494</f>
        <v>Mr. Professional</v>
      </c>
    </row>
    <row r="4" spans="1:14" ht="6" customHeight="1" x14ac:dyDescent="0.35"/>
    <row r="5" spans="1:14" ht="12" customHeight="1" x14ac:dyDescent="0.35">
      <c r="L5" s="248">
        <f ca="1">[1]Blank42!$K$493</f>
        <v>44412.60115613426</v>
      </c>
      <c r="M5" s="248"/>
      <c r="N5" s="4" t="s">
        <v>95</v>
      </c>
    </row>
    <row r="6" spans="1:14" ht="13.15" x14ac:dyDescent="0.4">
      <c r="A6" s="97"/>
      <c r="B6" s="97"/>
      <c r="C6" s="97"/>
      <c r="D6" s="97"/>
      <c r="E6" s="140"/>
      <c r="F6" s="140" t="str">
        <f>[1]Blank42!F496</f>
        <v>Year1</v>
      </c>
      <c r="G6" s="140" t="str">
        <f>[1]Blank42!G496</f>
        <v>Year2</v>
      </c>
      <c r="H6" s="140" t="str">
        <f>[1]Blank42!H496</f>
        <v>Year3</v>
      </c>
      <c r="I6" s="140" t="str">
        <f>[1]Blank42!I496</f>
        <v>Year4</v>
      </c>
      <c r="J6" s="140" t="str">
        <f>[1]Blank42!J496</f>
        <v>Year5</v>
      </c>
      <c r="K6" s="97"/>
      <c r="L6" s="97"/>
      <c r="M6" s="97"/>
      <c r="N6" s="97"/>
    </row>
    <row r="7" spans="1:14" ht="6" customHeight="1" x14ac:dyDescent="0.35">
      <c r="A7" s="20"/>
      <c r="B7" s="20"/>
      <c r="C7" s="20"/>
      <c r="D7" s="20"/>
      <c r="E7" s="20"/>
      <c r="F7" s="20"/>
      <c r="G7" s="20"/>
      <c r="H7" s="20"/>
      <c r="I7" s="20"/>
      <c r="J7" s="20"/>
      <c r="K7" s="20"/>
      <c r="L7" s="20"/>
      <c r="M7" s="20"/>
      <c r="N7" s="20"/>
    </row>
    <row r="8" spans="1:14" x14ac:dyDescent="0.35">
      <c r="A8" s="20"/>
      <c r="B8" s="20"/>
      <c r="C8" s="301" t="str">
        <f>[1]Blank42!C498</f>
        <v>New Fxd Assets Cumulative</v>
      </c>
      <c r="D8" s="257"/>
      <c r="E8" s="42"/>
      <c r="F8" s="45">
        <f>IF([1]Blank42!F498=0,FIXED(0,0,0),[1]Blank42!F498)</f>
        <v>78.75</v>
      </c>
      <c r="G8" s="45">
        <f>IF([1]Blank42!G498=0,FIXED(0,0,0),[1]Blank42!G498)</f>
        <v>161.4375</v>
      </c>
      <c r="H8" s="45">
        <f>IF([1]Blank42!H498=0,FIXED(0,0,0),[1]Blank42!H498)</f>
        <v>248.25937500000001</v>
      </c>
      <c r="I8" s="45">
        <f>IF([1]Blank42!I498=0,FIXED(0,0,0),[1]Blank42!I498)</f>
        <v>339.42234374999998</v>
      </c>
      <c r="J8" s="45">
        <f>IF([1]Blank42!J498=0,FIXED(0,0,0),[1]Blank42!J498)</f>
        <v>435.14346093749998</v>
      </c>
      <c r="K8" s="20"/>
      <c r="L8" s="20"/>
      <c r="M8" s="20"/>
      <c r="N8" s="20"/>
    </row>
    <row r="9" spans="1:14" x14ac:dyDescent="0.35">
      <c r="A9" s="20"/>
      <c r="B9" s="20"/>
      <c r="C9" s="337" t="str">
        <f>[1]Blank42!C499</f>
        <v>Depreciation Factor</v>
      </c>
      <c r="D9" s="257"/>
      <c r="E9" s="389"/>
      <c r="F9" s="390">
        <f>[1]Blank42!F499</f>
        <v>0.2</v>
      </c>
      <c r="G9" s="390">
        <f>[1]Blank42!G499</f>
        <v>0.2</v>
      </c>
      <c r="H9" s="390">
        <f>[1]Blank42!H499</f>
        <v>0.2</v>
      </c>
      <c r="I9" s="390">
        <f>[1]Blank42!I499</f>
        <v>0.2</v>
      </c>
      <c r="J9" s="390">
        <f>[1]Blank42!J499</f>
        <v>0.19999999999999996</v>
      </c>
      <c r="K9" s="390">
        <f>[1]Blank42!K499</f>
        <v>1</v>
      </c>
      <c r="L9" s="20"/>
      <c r="M9" s="20"/>
      <c r="N9" s="20"/>
    </row>
    <row r="10" spans="1:14" x14ac:dyDescent="0.35">
      <c r="A10" s="20"/>
      <c r="B10" s="20"/>
      <c r="C10" s="337" t="str">
        <f>[1]Blank42!C500</f>
        <v>New Fxd Assets Each Yr</v>
      </c>
      <c r="D10" s="257"/>
      <c r="E10" s="42"/>
      <c r="F10" s="45">
        <f>IF([1]Blank42!F500=0,FIXED(0,0,0),[1]Blank42!F500)</f>
        <v>78.75</v>
      </c>
      <c r="G10" s="45">
        <f>IF([1]Blank42!G500=0,FIXED(0,0,0),[1]Blank42!G500)</f>
        <v>82.6875</v>
      </c>
      <c r="H10" s="45">
        <f>IF([1]Blank42!H500=0,FIXED(0,0,0),[1]Blank42!H500)</f>
        <v>86.821875000000006</v>
      </c>
      <c r="I10" s="45">
        <f>IF([1]Blank42!I500=0,FIXED(0,0,0),[1]Blank42!I500)</f>
        <v>91.162968749999976</v>
      </c>
      <c r="J10" s="45">
        <f>IF([1]Blank42!J500=0,FIXED(0,0,0),[1]Blank42!J500)</f>
        <v>95.721117187499999</v>
      </c>
      <c r="K10" s="20"/>
      <c r="L10" s="20"/>
      <c r="M10" s="20"/>
      <c r="N10" s="20"/>
    </row>
    <row r="11" spans="1:14" x14ac:dyDescent="0.35">
      <c r="A11" s="20"/>
      <c r="B11" s="20"/>
      <c r="C11" s="56" t="str">
        <f>[1]Blank42!C501</f>
        <v>Depreciation-1</v>
      </c>
      <c r="D11" s="20"/>
      <c r="E11" s="42"/>
      <c r="F11" s="45">
        <f>IF([1]Blank42!F501=0,FIXED(0,0,0),[1]Blank42!F501)</f>
        <v>15.75</v>
      </c>
      <c r="G11" s="45">
        <f>IF([1]Blank42!G501=0,FIXED(0,0,0),[1]Blank42!G501)</f>
        <v>15.75</v>
      </c>
      <c r="H11" s="45">
        <f>IF([1]Blank42!H501=0,FIXED(0,0,0),[1]Blank42!H501)</f>
        <v>15.75</v>
      </c>
      <c r="I11" s="45">
        <f>IF([1]Blank42!I501=0,FIXED(0,0,0),[1]Blank42!I501)</f>
        <v>15.75</v>
      </c>
      <c r="J11" s="45">
        <f>IF([1]Blank42!J501=0,FIXED(0,0,0),[1]Blank42!J501)</f>
        <v>15.75</v>
      </c>
      <c r="K11" s="20"/>
      <c r="L11" s="20"/>
      <c r="M11" s="20"/>
      <c r="N11" s="20"/>
    </row>
    <row r="12" spans="1:14" x14ac:dyDescent="0.35">
      <c r="A12" s="20"/>
      <c r="B12" s="20"/>
      <c r="C12" s="56" t="str">
        <f>[1]Blank42!C502</f>
        <v>A/D-new Fixed Assets-1</v>
      </c>
      <c r="D12" s="20"/>
      <c r="E12" s="42"/>
      <c r="F12" s="45">
        <f>IF([1]Blank42!F502=0,FIXED(0,0,0),[1]Blank42!F502)</f>
        <v>15.75</v>
      </c>
      <c r="G12" s="45">
        <f>IF([1]Blank42!G502=0,FIXED(0,0,0),[1]Blank42!G502)</f>
        <v>31.5</v>
      </c>
      <c r="H12" s="45">
        <f>IF([1]Blank42!H502=0,FIXED(0,0,0),[1]Blank42!H502)</f>
        <v>47.25</v>
      </c>
      <c r="I12" s="45">
        <f>IF([1]Blank42!I502=0,FIXED(0,0,0),[1]Blank42!I502)</f>
        <v>63</v>
      </c>
      <c r="J12" s="45">
        <f>IF([1]Blank42!J502=0,FIXED(0,0,0),[1]Blank42!J502)</f>
        <v>78.75</v>
      </c>
      <c r="K12" s="20"/>
      <c r="L12" s="20"/>
      <c r="M12" s="20"/>
      <c r="N12" s="20"/>
    </row>
    <row r="13" spans="1:14" x14ac:dyDescent="0.35">
      <c r="A13" s="20"/>
      <c r="B13" s="20"/>
      <c r="C13" s="56" t="str">
        <f>[1]Blank42!C503</f>
        <v>Depreciation-2</v>
      </c>
      <c r="D13" s="20"/>
      <c r="E13" s="42"/>
      <c r="F13" s="45"/>
      <c r="G13" s="45">
        <f>IF([1]Blank42!G503=0,FIXED(0,0,0),[1]Blank42!G503)</f>
        <v>16.537500000000001</v>
      </c>
      <c r="H13" s="45">
        <f>IF([1]Blank42!H503=0,FIXED(0,0,0),[1]Blank42!H503)</f>
        <v>16.537500000000001</v>
      </c>
      <c r="I13" s="45">
        <f>IF([1]Blank42!I503=0,FIXED(0,0,0),[1]Blank42!I503)</f>
        <v>16.537500000000001</v>
      </c>
      <c r="J13" s="45">
        <f>IF([1]Blank42!J503=0,FIXED(0,0,0),[1]Blank42!J503)</f>
        <v>16.537500000000001</v>
      </c>
      <c r="K13" s="20"/>
      <c r="L13" s="20"/>
      <c r="M13" s="20"/>
      <c r="N13" s="20"/>
    </row>
    <row r="14" spans="1:14" x14ac:dyDescent="0.35">
      <c r="A14" s="20"/>
      <c r="B14" s="20"/>
      <c r="C14" s="56" t="str">
        <f>[1]Blank42!C504</f>
        <v>A/D-new Fixed Assets-2</v>
      </c>
      <c r="D14" s="20"/>
      <c r="E14" s="42"/>
      <c r="F14" s="45"/>
      <c r="G14" s="45">
        <f>IF([1]Blank42!G504=0,FIXED(0,0,0),[1]Blank42!G504)</f>
        <v>16.537500000000001</v>
      </c>
      <c r="H14" s="45">
        <f>IF([1]Blank42!H504=0,FIXED(0,0,0),[1]Blank42!H504)</f>
        <v>33.075000000000003</v>
      </c>
      <c r="I14" s="45">
        <f>IF([1]Blank42!I504=0,FIXED(0,0,0),[1]Blank42!I504)</f>
        <v>49.612500000000004</v>
      </c>
      <c r="J14" s="45">
        <f>IF([1]Blank42!J504=0,FIXED(0,0,0),[1]Blank42!J504)</f>
        <v>66.150000000000006</v>
      </c>
      <c r="K14" s="20"/>
      <c r="L14" s="20"/>
      <c r="M14" s="20"/>
      <c r="N14" s="20"/>
    </row>
    <row r="15" spans="1:14" x14ac:dyDescent="0.35">
      <c r="A15" s="20"/>
      <c r="B15" s="20"/>
      <c r="C15" s="56" t="str">
        <f>[1]Blank42!C505</f>
        <v>Depreciation-3</v>
      </c>
      <c r="D15" s="20"/>
      <c r="E15" s="42"/>
      <c r="F15" s="45"/>
      <c r="G15" s="45"/>
      <c r="H15" s="45">
        <f>IF([1]Blank42!H505=0,FIXED(0,0,0),[1]Blank42!H505)</f>
        <v>17.364375000000003</v>
      </c>
      <c r="I15" s="45">
        <f>IF([1]Blank42!I505=0,FIXED(0,0,0),[1]Blank42!I505)</f>
        <v>17.364375000000003</v>
      </c>
      <c r="J15" s="45">
        <f>IF([1]Blank42!J505=0,FIXED(0,0,0),[1]Blank42!J505)</f>
        <v>17.364375000000003</v>
      </c>
      <c r="K15" s="20"/>
      <c r="L15" s="20"/>
      <c r="M15" s="20"/>
      <c r="N15" s="20"/>
    </row>
    <row r="16" spans="1:14" x14ac:dyDescent="0.35">
      <c r="A16" s="20"/>
      <c r="B16" s="20"/>
      <c r="C16" s="56" t="str">
        <f>[1]Blank42!C506</f>
        <v>A/D-new Fixed Assets-3</v>
      </c>
      <c r="D16" s="20"/>
      <c r="E16" s="42"/>
      <c r="F16" s="45"/>
      <c r="G16" s="45"/>
      <c r="H16" s="45">
        <f>IF([1]Blank42!H506=0,FIXED(0,0,0),[1]Blank42!H506)</f>
        <v>17.364375000000003</v>
      </c>
      <c r="I16" s="45">
        <f>IF([1]Blank42!I506=0,FIXED(0,0,0),[1]Blank42!I506)</f>
        <v>34.728750000000005</v>
      </c>
      <c r="J16" s="45">
        <f>IF([1]Blank42!J506=0,FIXED(0,0,0),[1]Blank42!J506)</f>
        <v>52.093125000000008</v>
      </c>
      <c r="K16" s="20"/>
      <c r="L16" s="20"/>
      <c r="M16" s="20"/>
      <c r="N16" s="20"/>
    </row>
    <row r="17" spans="1:14" x14ac:dyDescent="0.35">
      <c r="A17" s="20"/>
      <c r="B17" s="20"/>
      <c r="C17" s="56" t="str">
        <f>[1]Blank42!C507</f>
        <v>Depreciation-4</v>
      </c>
      <c r="D17" s="20"/>
      <c r="E17" s="42"/>
      <c r="F17" s="45"/>
      <c r="G17" s="45"/>
      <c r="H17" s="45"/>
      <c r="I17" s="45">
        <f>IF([1]Blank42!I507=0,FIXED(0,0,0),[1]Blank42!I507)</f>
        <v>18.232593749999996</v>
      </c>
      <c r="J17" s="45">
        <f>IF([1]Blank42!J507=0,FIXED(0,0,0),[1]Blank42!J507)</f>
        <v>18.232593749999996</v>
      </c>
      <c r="K17" s="20"/>
      <c r="L17" s="20"/>
      <c r="M17" s="20"/>
      <c r="N17" s="20"/>
    </row>
    <row r="18" spans="1:14" x14ac:dyDescent="0.35">
      <c r="A18" s="20"/>
      <c r="B18" s="20"/>
      <c r="C18" s="56" t="str">
        <f>[1]Blank42!C508</f>
        <v>A/D-new Fixed Assets-4</v>
      </c>
      <c r="D18" s="20"/>
      <c r="E18" s="42"/>
      <c r="F18" s="45"/>
      <c r="G18" s="45"/>
      <c r="H18" s="45"/>
      <c r="I18" s="45">
        <f>IF([1]Blank42!I508=0,FIXED(0,0,0),[1]Blank42!I508)</f>
        <v>18.232593749999996</v>
      </c>
      <c r="J18" s="45">
        <f>IF([1]Blank42!J508=0,FIXED(0,0,0),[1]Blank42!J508)</f>
        <v>36.465187499999992</v>
      </c>
      <c r="K18" s="20"/>
      <c r="L18" s="20"/>
      <c r="M18" s="20"/>
      <c r="N18" s="20"/>
    </row>
    <row r="19" spans="1:14" x14ac:dyDescent="0.35">
      <c r="A19" s="20"/>
      <c r="B19" s="20"/>
      <c r="C19" s="56" t="str">
        <f>[1]Blank42!C509</f>
        <v>Depreciation-5</v>
      </c>
      <c r="D19" s="20"/>
      <c r="E19" s="42"/>
      <c r="F19" s="45"/>
      <c r="G19" s="45"/>
      <c r="H19" s="45"/>
      <c r="I19" s="45"/>
      <c r="J19" s="45">
        <f>IF([1]Blank42!J509=0,FIXED(0,0,0),[1]Blank42!J509)</f>
        <v>19.144223437499999</v>
      </c>
      <c r="K19" s="20"/>
      <c r="L19" s="20"/>
      <c r="M19" s="20"/>
      <c r="N19" s="20"/>
    </row>
    <row r="20" spans="1:14" x14ac:dyDescent="0.35">
      <c r="A20" s="20"/>
      <c r="B20" s="20"/>
      <c r="C20" s="56" t="str">
        <f>[1]Blank42!C510</f>
        <v>A/D-new Fixed Assets-5</v>
      </c>
      <c r="D20" s="20"/>
      <c r="E20" s="42"/>
      <c r="F20" s="45"/>
      <c r="G20" s="45"/>
      <c r="H20" s="45"/>
      <c r="I20" s="45"/>
      <c r="J20" s="45">
        <f>IF([1]Blank42!J510=0,FIXED(0,0,0),[1]Blank42!J510)</f>
        <v>19.144223437499999</v>
      </c>
      <c r="K20" s="20"/>
      <c r="L20" s="20"/>
      <c r="M20" s="20"/>
      <c r="N20" s="20"/>
    </row>
    <row r="21" spans="1:14" ht="3" customHeight="1" x14ac:dyDescent="0.35">
      <c r="A21" s="20"/>
      <c r="B21" s="20"/>
      <c r="C21" s="115"/>
      <c r="D21" s="20"/>
      <c r="E21" s="341"/>
      <c r="F21" s="391"/>
      <c r="G21" s="391"/>
      <c r="H21" s="391"/>
      <c r="I21" s="391"/>
      <c r="J21" s="391"/>
      <c r="K21" s="20"/>
      <c r="L21" s="20"/>
      <c r="M21" s="20"/>
      <c r="N21" s="20"/>
    </row>
    <row r="22" spans="1:14" x14ac:dyDescent="0.35">
      <c r="A22" s="20"/>
      <c r="B22" s="20"/>
      <c r="C22" s="56" t="str">
        <f>[1]Blank42!C512</f>
        <v>A/D-new Fixed Assets-ALL</v>
      </c>
      <c r="D22" s="20"/>
      <c r="E22" s="42"/>
      <c r="F22" s="45">
        <f>IF([1]Blank42!F512=0,FIXED(0,0,0),[1]Blank42!F512)</f>
        <v>15.75</v>
      </c>
      <c r="G22" s="45">
        <f>IF([1]Blank42!G512=0,FIXED(0,0,0),[1]Blank42!G512)</f>
        <v>48.037500000000001</v>
      </c>
      <c r="H22" s="45">
        <f>IF([1]Blank42!H512=0,FIXED(0,0,0),[1]Blank42!H512)</f>
        <v>97.689375000000013</v>
      </c>
      <c r="I22" s="45">
        <f>IF([1]Blank42!I512=0,FIXED(0,0,0),[1]Blank42!I512)</f>
        <v>165.57384375000001</v>
      </c>
      <c r="J22" s="45">
        <f>IF([1]Blank42!J512=0,FIXED(0,0,0),[1]Blank42!J512)</f>
        <v>252.60253593749999</v>
      </c>
      <c r="K22" s="20"/>
      <c r="L22" s="20"/>
      <c r="M22" s="20"/>
      <c r="N22" s="20"/>
    </row>
    <row r="23" spans="1:14" ht="6" customHeight="1" x14ac:dyDescent="0.35">
      <c r="A23" s="392"/>
      <c r="B23" s="392"/>
      <c r="C23" s="392"/>
      <c r="D23" s="392"/>
      <c r="E23" s="393"/>
      <c r="F23" s="393"/>
      <c r="G23" s="393"/>
      <c r="H23" s="393"/>
      <c r="I23" s="393"/>
      <c r="J23" s="393"/>
      <c r="K23" s="393"/>
      <c r="L23" s="393"/>
      <c r="M23" s="393"/>
      <c r="N23" s="393"/>
    </row>
    <row r="24" spans="1:14" x14ac:dyDescent="0.35">
      <c r="A24" s="20"/>
      <c r="B24" s="20"/>
      <c r="C24" s="301" t="str">
        <f>[1]Blank42!C514</f>
        <v>Old Fxd Assets Cumulative</v>
      </c>
      <c r="D24" s="257"/>
      <c r="E24" s="42"/>
      <c r="F24" s="45" t="str">
        <f>IF([1]Blank42!F514=0,FIXED(0,0,0),[1]Blank42!F514)</f>
        <v>1000</v>
      </c>
      <c r="G24" s="45" t="str">
        <f>IF([1]Blank42!G514=0,FIXED(0,0,0),[1]Blank42!G514)</f>
        <v>1000</v>
      </c>
      <c r="H24" s="45" t="str">
        <f>IF([1]Blank42!H514=0,FIXED(0,0,0),[1]Blank42!H514)</f>
        <v>1000</v>
      </c>
      <c r="I24" s="45" t="str">
        <f>IF([1]Blank42!I514=0,FIXED(0,0,0),[1]Blank42!I514)</f>
        <v>1000</v>
      </c>
      <c r="J24" s="45" t="str">
        <f>IF([1]Blank42!J514=0,FIXED(0,0,0),[1]Blank42!J514)</f>
        <v>1000</v>
      </c>
      <c r="K24" s="20"/>
      <c r="L24" s="20"/>
      <c r="M24" s="20"/>
      <c r="N24" s="20"/>
    </row>
    <row r="25" spans="1:14" x14ac:dyDescent="0.35">
      <c r="A25" s="20"/>
      <c r="B25" s="20"/>
      <c r="C25" s="337" t="str">
        <f>[1]Blank42!C515</f>
        <v>Depreciation Factor</v>
      </c>
      <c r="D25" s="257"/>
      <c r="E25" s="34"/>
      <c r="F25" s="394">
        <f>[1]Blank42!F515</f>
        <v>0.2</v>
      </c>
      <c r="G25" s="394">
        <f>[1]Blank42!G515</f>
        <v>0.2</v>
      </c>
      <c r="H25" s="394">
        <f>[1]Blank42!H515</f>
        <v>0.2</v>
      </c>
      <c r="I25" s="394">
        <f>[1]Blank42!I515</f>
        <v>0.2</v>
      </c>
      <c r="J25" s="394">
        <f>[1]Blank42!J515</f>
        <v>0.19999999999999996</v>
      </c>
      <c r="K25" s="394">
        <f>[1]Blank42!K515</f>
        <v>1</v>
      </c>
      <c r="L25" s="20"/>
      <c r="M25" s="20"/>
      <c r="N25" s="20"/>
    </row>
    <row r="26" spans="1:14" x14ac:dyDescent="0.35">
      <c r="A26" s="20"/>
      <c r="B26" s="20"/>
      <c r="C26" s="337" t="str">
        <f>[1]Blank42!C516</f>
        <v>Old Fxd Assets Each Yr</v>
      </c>
      <c r="D26" s="257"/>
      <c r="E26" s="395"/>
      <c r="F26" s="45">
        <f>IF([1]Blank42!F516=0,FIXED(0,0,0),[1]Blank42!F516)</f>
        <v>1000</v>
      </c>
      <c r="G26" s="45" t="str">
        <f>IF([1]Blank42!G516=0,FIXED(0,0,0),[1]Blank42!G516)</f>
        <v>0</v>
      </c>
      <c r="H26" s="45" t="str">
        <f>IF([1]Blank42!H516=0,FIXED(0,0,0),[1]Blank42!H516)</f>
        <v>0</v>
      </c>
      <c r="I26" s="45" t="str">
        <f>IF([1]Blank42!I516=0,FIXED(0,0,0),[1]Blank42!I516)</f>
        <v>0</v>
      </c>
      <c r="J26" s="45" t="str">
        <f>IF([1]Blank42!J516=0,FIXED(0,0,0),[1]Blank42!J516)</f>
        <v>0</v>
      </c>
      <c r="K26" s="20"/>
      <c r="L26" s="20"/>
      <c r="M26" s="20"/>
      <c r="N26" s="20"/>
    </row>
    <row r="27" spans="1:14" x14ac:dyDescent="0.35">
      <c r="A27" s="20"/>
      <c r="B27" s="20"/>
      <c r="C27" s="56" t="str">
        <f>[1]Blank42!C517</f>
        <v>Depreciation-1</v>
      </c>
      <c r="D27" s="20"/>
      <c r="E27" s="395"/>
      <c r="F27" s="45">
        <f>IF([1]Blank42!F517=0,FIXED(0,0,0),[1]Blank42!F517)</f>
        <v>200</v>
      </c>
      <c r="G27" s="45">
        <f>IF([1]Blank42!G517=0,FIXED(0,0,0),[1]Blank42!G517)</f>
        <v>200</v>
      </c>
      <c r="H27" s="45">
        <f>IF([1]Blank42!H517=0,FIXED(0,0,0),[1]Blank42!H517)</f>
        <v>200</v>
      </c>
      <c r="I27" s="45">
        <f>IF([1]Blank42!I517=0,FIXED(0,0,0),[1]Blank42!I517)</f>
        <v>200</v>
      </c>
      <c r="J27" s="45">
        <f>IF([1]Blank42!J517=0,FIXED(0,0,0),[1]Blank42!J517)</f>
        <v>200</v>
      </c>
      <c r="K27" s="20"/>
      <c r="L27" s="20"/>
      <c r="M27" s="20"/>
      <c r="N27" s="20"/>
    </row>
    <row r="28" spans="1:14" x14ac:dyDescent="0.35">
      <c r="A28" s="20"/>
      <c r="B28" s="20"/>
      <c r="C28" s="56" t="str">
        <f>[1]Blank42!C518</f>
        <v>A/D-old Fixed Assets-1</v>
      </c>
      <c r="D28" s="20"/>
      <c r="E28" s="395"/>
      <c r="F28" s="45">
        <f>IF([1]Blank42!F518=0,FIXED(0,0,0),[1]Blank42!F518)</f>
        <v>200</v>
      </c>
      <c r="G28" s="45">
        <f>IF([1]Blank42!G518=0,FIXED(0,0,0),[1]Blank42!G518)</f>
        <v>400</v>
      </c>
      <c r="H28" s="45">
        <f>IF([1]Blank42!H518=0,FIXED(0,0,0),[1]Blank42!H518)</f>
        <v>600</v>
      </c>
      <c r="I28" s="45">
        <f>IF([1]Blank42!I518=0,FIXED(0,0,0),[1]Blank42!I518)</f>
        <v>800</v>
      </c>
      <c r="J28" s="45">
        <f>IF([1]Blank42!J518=0,FIXED(0,0,0),[1]Blank42!J518)</f>
        <v>1000</v>
      </c>
      <c r="K28" s="20"/>
      <c r="L28" s="20"/>
      <c r="M28" s="20"/>
      <c r="N28" s="20"/>
    </row>
    <row r="29" spans="1:14" x14ac:dyDescent="0.35">
      <c r="A29" s="20"/>
      <c r="B29" s="20"/>
      <c r="C29" s="56" t="str">
        <f>[1]Blank42!C519</f>
        <v>Depreciation-2</v>
      </c>
      <c r="D29" s="20"/>
      <c r="E29" s="395"/>
      <c r="F29" s="42">
        <f>[1]Blank42!F519</f>
        <v>0</v>
      </c>
      <c r="G29" s="42">
        <f>[1]Blank42!G519</f>
        <v>0</v>
      </c>
      <c r="H29" s="42">
        <f>[1]Blank42!H519</f>
        <v>0</v>
      </c>
      <c r="I29" s="42">
        <f>[1]Blank42!I519</f>
        <v>0</v>
      </c>
      <c r="J29" s="42">
        <f>[1]Blank42!J519</f>
        <v>0</v>
      </c>
      <c r="K29" s="20"/>
      <c r="L29" s="20"/>
      <c r="M29" s="20"/>
      <c r="N29" s="20"/>
    </row>
    <row r="30" spans="1:14" x14ac:dyDescent="0.35">
      <c r="A30" s="20"/>
      <c r="B30" s="20"/>
      <c r="C30" s="56" t="str">
        <f>[1]Blank42!C520</f>
        <v>A/D-old Fixed Assets-2</v>
      </c>
      <c r="D30" s="20"/>
      <c r="E30" s="395"/>
      <c r="F30" s="42">
        <f>[1]Blank42!F520</f>
        <v>0</v>
      </c>
      <c r="G30" s="42">
        <f>[1]Blank42!G520</f>
        <v>0</v>
      </c>
      <c r="H30" s="42">
        <f>[1]Blank42!H520</f>
        <v>0</v>
      </c>
      <c r="I30" s="42">
        <f>[1]Blank42!I520</f>
        <v>0</v>
      </c>
      <c r="J30" s="42">
        <f>[1]Blank42!J520</f>
        <v>0</v>
      </c>
      <c r="K30" s="20"/>
      <c r="L30" s="20"/>
      <c r="M30" s="20"/>
      <c r="N30" s="20"/>
    </row>
    <row r="31" spans="1:14" x14ac:dyDescent="0.35">
      <c r="A31" s="20"/>
      <c r="B31" s="20"/>
      <c r="C31" s="56" t="str">
        <f>[1]Blank42!C521</f>
        <v>Depreciation-3</v>
      </c>
      <c r="D31" s="20"/>
      <c r="E31" s="395"/>
      <c r="F31" s="42"/>
      <c r="G31" s="42">
        <f>[1]Blank42!G521</f>
        <v>0</v>
      </c>
      <c r="H31" s="42">
        <f>[1]Blank42!H521</f>
        <v>0</v>
      </c>
      <c r="I31" s="42">
        <f>[1]Blank42!I521</f>
        <v>0</v>
      </c>
      <c r="J31" s="42">
        <f>[1]Blank42!J521</f>
        <v>0</v>
      </c>
      <c r="K31" s="20"/>
      <c r="L31" s="20"/>
      <c r="M31" s="20"/>
      <c r="N31" s="20"/>
    </row>
    <row r="32" spans="1:14" x14ac:dyDescent="0.35">
      <c r="A32" s="20"/>
      <c r="B32" s="20"/>
      <c r="C32" s="56" t="str">
        <f>[1]Blank42!C522</f>
        <v>A/D-old Fixed Assets-3</v>
      </c>
      <c r="D32" s="20"/>
      <c r="E32" s="395"/>
      <c r="F32" s="42"/>
      <c r="G32" s="42">
        <f>[1]Blank42!G522</f>
        <v>0</v>
      </c>
      <c r="H32" s="42">
        <f>[1]Blank42!H522</f>
        <v>0</v>
      </c>
      <c r="I32" s="42">
        <f>[1]Blank42!I522</f>
        <v>0</v>
      </c>
      <c r="J32" s="42">
        <f>[1]Blank42!J522</f>
        <v>0</v>
      </c>
      <c r="K32" s="20"/>
      <c r="L32" s="20"/>
      <c r="M32" s="20"/>
      <c r="N32" s="20"/>
    </row>
    <row r="33" spans="1:14" x14ac:dyDescent="0.35">
      <c r="A33" s="20"/>
      <c r="B33" s="20"/>
      <c r="C33" s="56" t="str">
        <f>[1]Blank42!C523</f>
        <v>Depreciation-4</v>
      </c>
      <c r="D33" s="20"/>
      <c r="E33" s="395"/>
      <c r="F33" s="42"/>
      <c r="G33" s="42"/>
      <c r="H33" s="42">
        <f>[1]Blank42!H523</f>
        <v>0</v>
      </c>
      <c r="I33" s="42">
        <f>[1]Blank42!I523</f>
        <v>0</v>
      </c>
      <c r="J33" s="42">
        <f>[1]Blank42!J523</f>
        <v>0</v>
      </c>
      <c r="K33" s="20"/>
      <c r="L33" s="20"/>
      <c r="M33" s="20"/>
      <c r="N33" s="20"/>
    </row>
    <row r="34" spans="1:14" x14ac:dyDescent="0.35">
      <c r="A34" s="20"/>
      <c r="B34" s="20"/>
      <c r="C34" s="56" t="str">
        <f>[1]Blank42!C524</f>
        <v>A/D-old Fixed Assets-4</v>
      </c>
      <c r="D34" s="20"/>
      <c r="E34" s="395"/>
      <c r="F34" s="42"/>
      <c r="G34" s="42"/>
      <c r="H34" s="42">
        <f>[1]Blank42!H524</f>
        <v>0</v>
      </c>
      <c r="I34" s="42">
        <f>[1]Blank42!I524</f>
        <v>0</v>
      </c>
      <c r="J34" s="42">
        <f>[1]Blank42!J524</f>
        <v>0</v>
      </c>
      <c r="K34" s="20"/>
      <c r="L34" s="20"/>
      <c r="M34" s="20"/>
      <c r="N34" s="20"/>
    </row>
    <row r="35" spans="1:14" x14ac:dyDescent="0.35">
      <c r="A35" s="276"/>
      <c r="B35" s="20"/>
      <c r="C35" s="56" t="str">
        <f>[1]Blank42!C525</f>
        <v>Depreciation-5</v>
      </c>
      <c r="D35" s="20"/>
      <c r="E35" s="395"/>
      <c r="F35" s="42"/>
      <c r="G35" s="42"/>
      <c r="H35" s="42"/>
      <c r="I35" s="42">
        <f>[1]Blank42!I525</f>
        <v>0</v>
      </c>
      <c r="J35" s="42">
        <f>[1]Blank42!J525</f>
        <v>0</v>
      </c>
      <c r="K35" s="20"/>
      <c r="L35" s="20"/>
      <c r="M35" s="20"/>
      <c r="N35" s="20"/>
    </row>
    <row r="36" spans="1:14" x14ac:dyDescent="0.35">
      <c r="A36" s="20"/>
      <c r="B36" s="20"/>
      <c r="C36" s="56" t="str">
        <f>[1]Blank42!C526</f>
        <v>A/D-old Fixed Assets-5</v>
      </c>
      <c r="D36" s="20"/>
      <c r="E36" s="395"/>
      <c r="F36" s="42"/>
      <c r="G36" s="42"/>
      <c r="H36" s="42"/>
      <c r="I36" s="42">
        <f>[1]Blank42!I526</f>
        <v>0</v>
      </c>
      <c r="J36" s="42">
        <f>[1]Blank42!J526</f>
        <v>0</v>
      </c>
      <c r="K36" s="20"/>
      <c r="L36" s="20"/>
      <c r="M36" s="20"/>
      <c r="N36" s="20"/>
    </row>
    <row r="37" spans="1:14" ht="3" customHeight="1" x14ac:dyDescent="0.35">
      <c r="A37" s="20"/>
      <c r="B37" s="20"/>
      <c r="C37" s="20"/>
      <c r="D37" s="20"/>
      <c r="E37" s="395"/>
      <c r="F37" s="396"/>
      <c r="G37" s="396"/>
      <c r="H37" s="396"/>
      <c r="I37" s="396"/>
      <c r="J37" s="396"/>
      <c r="K37" s="20"/>
      <c r="L37" s="20"/>
      <c r="M37" s="20"/>
      <c r="N37" s="20"/>
    </row>
    <row r="38" spans="1:14" x14ac:dyDescent="0.35">
      <c r="A38" s="20"/>
      <c r="B38" s="20"/>
      <c r="C38" s="56" t="str">
        <f>[1]Blank42!C528</f>
        <v>A/D-old Fixed Assets-ALL</v>
      </c>
      <c r="D38" s="20"/>
      <c r="E38" s="395"/>
      <c r="F38" s="45">
        <f>IF([1]Blank42!F528=0,FIXED(0,0,0),[1]Blank42!F528)</f>
        <v>200</v>
      </c>
      <c r="G38" s="45">
        <f>IF([1]Blank42!G528=0,FIXED(0,0,0),[1]Blank42!G528)</f>
        <v>400</v>
      </c>
      <c r="H38" s="45">
        <f>IF([1]Blank42!H528=0,FIXED(0,0,0),[1]Blank42!H528)</f>
        <v>600</v>
      </c>
      <c r="I38" s="45">
        <f>IF([1]Blank42!I528=0,FIXED(0,0,0),[1]Blank42!I528)</f>
        <v>800</v>
      </c>
      <c r="J38" s="45">
        <f>IF([1]Blank42!J528=0,FIXED(0,0,0),[1]Blank42!J528)</f>
        <v>1000</v>
      </c>
      <c r="K38" s="20"/>
      <c r="L38" s="20"/>
      <c r="M38" s="20"/>
      <c r="N38" s="20"/>
    </row>
    <row r="39" spans="1:14" ht="3" customHeight="1" x14ac:dyDescent="0.35">
      <c r="A39" s="276"/>
      <c r="B39" s="276"/>
      <c r="C39" s="20"/>
      <c r="D39" s="20"/>
      <c r="E39" s="395"/>
      <c r="F39" s="42"/>
      <c r="G39" s="42"/>
      <c r="H39" s="42"/>
      <c r="I39" s="42"/>
      <c r="J39" s="42"/>
      <c r="K39" s="20"/>
      <c r="L39" s="20"/>
      <c r="M39" s="20"/>
      <c r="N39" s="20"/>
    </row>
    <row r="40" spans="1:14" ht="3" customHeight="1" x14ac:dyDescent="0.35">
      <c r="A40" s="392"/>
      <c r="B40" s="392"/>
      <c r="C40" s="392"/>
      <c r="D40" s="392"/>
      <c r="E40" s="393"/>
      <c r="F40" s="393"/>
      <c r="G40" s="393"/>
      <c r="H40" s="393"/>
      <c r="I40" s="393"/>
      <c r="J40" s="393"/>
      <c r="K40" s="393"/>
      <c r="L40" s="393"/>
      <c r="M40" s="393"/>
      <c r="N40" s="393"/>
    </row>
    <row r="41" spans="1:14" x14ac:dyDescent="0.35">
      <c r="A41" s="20"/>
      <c r="B41" s="20"/>
      <c r="C41" s="301" t="str">
        <f>[1]Blank42!C531</f>
        <v>Cap Ex Borrowing/Yr</v>
      </c>
      <c r="D41" s="257"/>
      <c r="E41" s="395"/>
      <c r="F41" s="45">
        <f>IF([1]Blank42!F531=0,FIXED(0,0,0),[1]Blank42!F531)</f>
        <v>59.0625</v>
      </c>
      <c r="G41" s="45">
        <f>IF([1]Blank42!G531=0,FIXED(0,0,0),[1]Blank42!G531)</f>
        <v>62.015625</v>
      </c>
      <c r="H41" s="45">
        <f>IF([1]Blank42!H531=0,FIXED(0,0,0),[1]Blank42!H531)</f>
        <v>65.116406250000011</v>
      </c>
      <c r="I41" s="45">
        <f>IF([1]Blank42!I531=0,FIXED(0,0,0),[1]Blank42!I531)</f>
        <v>68.372226562500003</v>
      </c>
      <c r="J41" s="45">
        <f>IF([1]Blank42!J531=0,FIXED(0,0,0),[1]Blank42!J531)</f>
        <v>71.790837890624999</v>
      </c>
      <c r="K41" s="20"/>
      <c r="L41" s="20"/>
      <c r="M41" s="20"/>
      <c r="N41" s="20"/>
    </row>
    <row r="42" spans="1:14" x14ac:dyDescent="0.35">
      <c r="A42" s="20"/>
      <c r="B42" s="20"/>
      <c r="C42" s="56" t="str">
        <f>[1]Blank42!C532</f>
        <v>Cap Ex Payments Each Yr-1</v>
      </c>
      <c r="D42" s="20"/>
      <c r="E42" s="395"/>
      <c r="F42" s="45">
        <f>IF([1]Blank42!F532=0,FIXED(0,0,0),[1]Blank42!F532)</f>
        <v>11.8125</v>
      </c>
      <c r="G42" s="45">
        <f>IF([1]Blank42!G532=0,FIXED(0,0,0),[1]Blank42!G532)</f>
        <v>11.8125</v>
      </c>
      <c r="H42" s="45">
        <f>IF([1]Blank42!H532=0,FIXED(0,0,0),[1]Blank42!H532)</f>
        <v>11.8125</v>
      </c>
      <c r="I42" s="45">
        <f>IF([1]Blank42!I532=0,FIXED(0,0,0),[1]Blank42!I532)</f>
        <v>11.8125</v>
      </c>
      <c r="J42" s="45">
        <f>IF([1]Blank42!J532=0,FIXED(0,0,0),[1]Blank42!J532)</f>
        <v>11.8125</v>
      </c>
      <c r="K42" s="20"/>
      <c r="L42" s="20"/>
      <c r="M42" s="20"/>
      <c r="N42" s="20"/>
    </row>
    <row r="43" spans="1:14" x14ac:dyDescent="0.35">
      <c r="A43" s="20"/>
      <c r="B43" s="20"/>
      <c r="C43" s="56" t="str">
        <f>[1]Blank42!C533</f>
        <v>Acc. Cap Ex Pymnts-1</v>
      </c>
      <c r="D43" s="20"/>
      <c r="E43" s="395"/>
      <c r="F43" s="45">
        <f>IF([1]Blank42!F533=0,FIXED(0,0,0),[1]Blank42!F533)</f>
        <v>11.8125</v>
      </c>
      <c r="G43" s="45">
        <f>IF([1]Blank42!G533=0,FIXED(0,0,0),[1]Blank42!G533)</f>
        <v>23.625</v>
      </c>
      <c r="H43" s="45">
        <f>IF([1]Blank42!H533=0,FIXED(0,0,0),[1]Blank42!H533)</f>
        <v>35.4375</v>
      </c>
      <c r="I43" s="45">
        <f>IF([1]Blank42!I533=0,FIXED(0,0,0),[1]Blank42!I533)</f>
        <v>47.25</v>
      </c>
      <c r="J43" s="45">
        <f>IF([1]Blank42!J533=0,FIXED(0,0,0),[1]Blank42!J533)</f>
        <v>59.0625</v>
      </c>
      <c r="K43" s="20"/>
      <c r="L43" s="20"/>
      <c r="M43" s="20"/>
      <c r="N43" s="20"/>
    </row>
    <row r="44" spans="1:14" x14ac:dyDescent="0.35">
      <c r="A44" s="20"/>
      <c r="B44" s="20"/>
      <c r="C44" s="56" t="str">
        <f>[1]Blank42!C534</f>
        <v>Cap Ex Payments Each Yr-2</v>
      </c>
      <c r="D44" s="20"/>
      <c r="E44" s="395"/>
      <c r="F44" s="42"/>
      <c r="G44" s="45">
        <f>IF([1]Blank42!G534=0,FIXED(0,0,0),[1]Blank42!G534)</f>
        <v>12.403124999999999</v>
      </c>
      <c r="H44" s="45">
        <f>IF([1]Blank42!H534=0,FIXED(0,0,0),[1]Blank42!H534)</f>
        <v>12.403124999999999</v>
      </c>
      <c r="I44" s="45">
        <f>IF([1]Blank42!I534=0,FIXED(0,0,0),[1]Blank42!I534)</f>
        <v>12.403124999999999</v>
      </c>
      <c r="J44" s="45">
        <f>IF([1]Blank42!J534=0,FIXED(0,0,0),[1]Blank42!J534)</f>
        <v>12.403124999999999</v>
      </c>
      <c r="K44" s="20"/>
      <c r="L44" s="20"/>
      <c r="M44" s="20"/>
      <c r="N44" s="20"/>
    </row>
    <row r="45" spans="1:14" x14ac:dyDescent="0.35">
      <c r="A45" s="20"/>
      <c r="B45" s="20"/>
      <c r="C45" s="56" t="str">
        <f>[1]Blank42!C535</f>
        <v>Acc. Cap Ex Pymnts-2</v>
      </c>
      <c r="D45" s="20"/>
      <c r="E45" s="395"/>
      <c r="F45" s="42"/>
      <c r="G45" s="45">
        <f>IF([1]Blank42!G535=0,FIXED(0,0,0),[1]Blank42!G535)</f>
        <v>12.403124999999999</v>
      </c>
      <c r="H45" s="45">
        <f>IF([1]Blank42!H535=0,FIXED(0,0,0),[1]Blank42!H535)</f>
        <v>24.806249999999999</v>
      </c>
      <c r="I45" s="45">
        <f>IF([1]Blank42!I535=0,FIXED(0,0,0),[1]Blank42!I535)</f>
        <v>37.209374999999994</v>
      </c>
      <c r="J45" s="45">
        <f>IF([1]Blank42!J535=0,FIXED(0,0,0),[1]Blank42!J535)</f>
        <v>49.612499999999997</v>
      </c>
      <c r="K45" s="20"/>
      <c r="L45" s="20"/>
      <c r="M45" s="20"/>
      <c r="N45" s="20"/>
    </row>
    <row r="46" spans="1:14" x14ac:dyDescent="0.35">
      <c r="A46" s="20"/>
      <c r="B46" s="20"/>
      <c r="C46" s="56" t="str">
        <f>[1]Blank42!C536</f>
        <v>Cap Ex Payments Each Yr-3</v>
      </c>
      <c r="D46" s="20"/>
      <c r="E46" s="395"/>
      <c r="F46" s="42"/>
      <c r="G46" s="42"/>
      <c r="H46" s="45">
        <f>IF([1]Blank42!H536=0,FIXED(0,0,0),[1]Blank42!H536)</f>
        <v>13.023281250000002</v>
      </c>
      <c r="I46" s="45">
        <f>IF([1]Blank42!I536=0,FIXED(0,0,0),[1]Blank42!I536)</f>
        <v>13.023281250000002</v>
      </c>
      <c r="J46" s="45">
        <f>IF([1]Blank42!J536=0,FIXED(0,0,0),[1]Blank42!J536)</f>
        <v>13.023281250000002</v>
      </c>
      <c r="K46" s="20"/>
      <c r="L46" s="20"/>
      <c r="M46" s="20"/>
      <c r="N46" s="20"/>
    </row>
    <row r="47" spans="1:14" x14ac:dyDescent="0.35">
      <c r="A47" s="20"/>
      <c r="B47" s="20"/>
      <c r="C47" s="56" t="str">
        <f>[1]Blank42!C537</f>
        <v>Acc. Cap Ex Pymnts-3</v>
      </c>
      <c r="D47" s="20"/>
      <c r="E47" s="395"/>
      <c r="F47" s="42"/>
      <c r="G47" s="42"/>
      <c r="H47" s="45">
        <f>IF([1]Blank42!H537=0,FIXED(0,0,0),[1]Blank42!H537)</f>
        <v>13.023281250000002</v>
      </c>
      <c r="I47" s="45">
        <f>IF([1]Blank42!I537=0,FIXED(0,0,0),[1]Blank42!I537)</f>
        <v>26.046562500000004</v>
      </c>
      <c r="J47" s="45">
        <f>IF([1]Blank42!J537=0,FIXED(0,0,0),[1]Blank42!J537)</f>
        <v>39.069843750000004</v>
      </c>
      <c r="K47" s="20"/>
      <c r="L47" s="20"/>
      <c r="M47" s="20"/>
      <c r="N47" s="20"/>
    </row>
    <row r="48" spans="1:14" x14ac:dyDescent="0.35">
      <c r="A48" s="20"/>
      <c r="B48" s="20"/>
      <c r="C48" s="56" t="str">
        <f>[1]Blank42!C538</f>
        <v>Cap Ex Payments Each Yr-4</v>
      </c>
      <c r="D48" s="20"/>
      <c r="E48" s="395"/>
      <c r="F48" s="42"/>
      <c r="G48" s="42"/>
      <c r="H48" s="42"/>
      <c r="I48" s="45">
        <f>IF([1]Blank42!I538=0,FIXED(0,0,0),[1]Blank42!I538)</f>
        <v>13.674445312500001</v>
      </c>
      <c r="J48" s="45">
        <f>IF([1]Blank42!J538=0,FIXED(0,0,0),[1]Blank42!J538)</f>
        <v>13.674445312500001</v>
      </c>
      <c r="K48" s="20"/>
      <c r="L48" s="20"/>
      <c r="M48" s="20"/>
      <c r="N48" s="20"/>
    </row>
    <row r="49" spans="1:14" x14ac:dyDescent="0.35">
      <c r="A49" s="20"/>
      <c r="B49" s="20"/>
      <c r="C49" s="56" t="str">
        <f>[1]Blank42!C539</f>
        <v>Acc. Cap Ex Pymnts-4</v>
      </c>
      <c r="D49" s="20"/>
      <c r="E49" s="395"/>
      <c r="F49" s="42"/>
      <c r="G49" s="42"/>
      <c r="H49" s="42"/>
      <c r="I49" s="45">
        <f>IF([1]Blank42!I539=0,FIXED(0,0,0),[1]Blank42!I539)</f>
        <v>13.674445312500001</v>
      </c>
      <c r="J49" s="45">
        <f>IF([1]Blank42!J539=0,FIXED(0,0,0),[1]Blank42!J539)</f>
        <v>27.348890625000003</v>
      </c>
      <c r="K49" s="20"/>
      <c r="L49" s="20"/>
      <c r="M49" s="20"/>
      <c r="N49" s="20"/>
    </row>
    <row r="50" spans="1:14" x14ac:dyDescent="0.35">
      <c r="A50" s="20"/>
      <c r="B50" s="20"/>
      <c r="C50" s="56" t="str">
        <f>[1]Blank42!C540</f>
        <v>Cap Ex Payments Each Yr-5</v>
      </c>
      <c r="D50" s="20"/>
      <c r="E50" s="395"/>
      <c r="F50" s="42"/>
      <c r="G50" s="42"/>
      <c r="H50" s="42"/>
      <c r="I50" s="42"/>
      <c r="J50" s="45">
        <f>IF([1]Blank42!J540=0,FIXED(0,0,0),[1]Blank42!J540)</f>
        <v>14.358167578125</v>
      </c>
      <c r="K50" s="20"/>
      <c r="L50" s="20"/>
      <c r="M50" s="20"/>
      <c r="N50" s="20"/>
    </row>
    <row r="51" spans="1:14" x14ac:dyDescent="0.35">
      <c r="A51" s="20"/>
      <c r="B51" s="20"/>
      <c r="C51" s="56" t="str">
        <f>[1]Blank42!C541</f>
        <v>Acc. Cap Ex Pymnts-5</v>
      </c>
      <c r="D51" s="20"/>
      <c r="E51" s="395"/>
      <c r="F51" s="42"/>
      <c r="G51" s="42"/>
      <c r="H51" s="42"/>
      <c r="I51" s="42"/>
      <c r="J51" s="45">
        <f>IF([1]Blank42!J541=0,FIXED(0,0,0),[1]Blank42!J541)</f>
        <v>14.358167578125</v>
      </c>
      <c r="K51" s="20"/>
      <c r="L51" s="20"/>
      <c r="M51" s="20"/>
      <c r="N51" s="20"/>
    </row>
    <row r="52" spans="1:14" ht="3" customHeight="1" x14ac:dyDescent="0.35">
      <c r="A52" s="20"/>
      <c r="B52" s="20"/>
      <c r="C52" s="20"/>
      <c r="D52" s="20"/>
      <c r="E52" s="395"/>
      <c r="F52" s="396"/>
      <c r="G52" s="396"/>
      <c r="H52" s="396"/>
      <c r="I52" s="396"/>
      <c r="J52" s="396"/>
      <c r="K52" s="20"/>
      <c r="L52" s="20"/>
      <c r="M52" s="20"/>
      <c r="N52" s="20"/>
    </row>
    <row r="53" spans="1:14" x14ac:dyDescent="0.35">
      <c r="A53" s="20"/>
      <c r="B53" s="20"/>
      <c r="C53" s="56" t="str">
        <f>[1]Blank42!C543</f>
        <v>CapEx PaymentsALL</v>
      </c>
      <c r="D53" s="20"/>
      <c r="E53" s="395"/>
      <c r="F53" s="42">
        <f>[1]Blank42!F543</f>
        <v>11.8125</v>
      </c>
      <c r="G53" s="42">
        <f>[1]Blank42!G543</f>
        <v>24.215624999999999</v>
      </c>
      <c r="H53" s="42">
        <f>[1]Blank42!H543</f>
        <v>37.238906249999999</v>
      </c>
      <c r="I53" s="42">
        <f>[1]Blank42!I543</f>
        <v>50.913351562499997</v>
      </c>
      <c r="J53" s="42">
        <f>[1]Blank42!J543</f>
        <v>65.271519140625003</v>
      </c>
      <c r="K53" s="269" t="str">
        <f ca="1">ROUND(A57,0)&amp;[1]Blank42!O11</f>
        <v>8164150</v>
      </c>
      <c r="L53" s="270" t="str">
        <f>[1]Blank42!$A$9</f>
        <v>BVX®</v>
      </c>
      <c r="M53" s="270"/>
      <c r="N53" s="270"/>
    </row>
    <row r="57" spans="1:14" x14ac:dyDescent="0.35">
      <c r="A57" s="234">
        <f ca="1">'[1]Valuation 1'!$A$44</f>
        <v>816414.83860721253</v>
      </c>
    </row>
  </sheetData>
  <mergeCells count="1">
    <mergeCell ref="L5:M5"/>
  </mergeCells>
  <pageMargins left="0.75" right="0.75" top="1" bottom="1" header="0.5" footer="0.5"/>
  <pageSetup scale="7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AB0F-5C6E-44F4-9E08-489AA03180BB}">
  <sheetPr codeName="Sheet5">
    <pageSetUpPr fitToPage="1"/>
  </sheetPr>
  <dimension ref="A1:N60"/>
  <sheetViews>
    <sheetView showGridLines="0" zoomScaleNormal="100" workbookViewId="0"/>
  </sheetViews>
  <sheetFormatPr defaultRowHeight="12.75" x14ac:dyDescent="0.35"/>
  <cols>
    <col min="1" max="1" width="12.69140625" style="1" customWidth="1"/>
    <col min="2" max="3" width="9.23046875" style="1"/>
    <col min="4" max="4" width="10.765625" style="1" customWidth="1"/>
    <col min="5" max="5" width="11.3828125" style="1" customWidth="1"/>
    <col min="6" max="10" width="12.1523437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7.649999999999999" x14ac:dyDescent="0.5">
      <c r="A2" s="4" t="str">
        <f>[1]Blank42!A164</f>
        <v>Company:</v>
      </c>
      <c r="B2" s="238" t="str">
        <f>[1]Blank42!B164</f>
        <v>Best Business, Inc.</v>
      </c>
      <c r="C2" s="282"/>
      <c r="D2" s="283"/>
      <c r="F2" s="239" t="str">
        <f>[1]Blank42!F163</f>
        <v>Cash Flow Projections</v>
      </c>
    </row>
    <row r="3" spans="1:14" ht="15" customHeight="1" x14ac:dyDescent="0.35">
      <c r="A3" s="4" t="str">
        <f>[1]Blank42!A163</f>
        <v>Prepared for:</v>
      </c>
      <c r="B3" s="243" t="str">
        <f>[1]Blank42!B163</f>
        <v>Mr. Client</v>
      </c>
      <c r="C3" s="282"/>
      <c r="D3" s="283"/>
      <c r="E3" s="4" t="str">
        <f>[1]Blank42!H164</f>
        <v>Prepared by:</v>
      </c>
      <c r="F3" s="243" t="str">
        <f>[1]Blank42!I164</f>
        <v>Illinois Corporate Investments Inc.</v>
      </c>
      <c r="G3" s="245"/>
      <c r="H3" s="245"/>
      <c r="I3" s="245"/>
      <c r="J3" s="4" t="str">
        <f>[1]Blank42!E164</f>
        <v>Preparer:</v>
      </c>
      <c r="K3" s="243" t="str">
        <f>[1]Blank42!F164</f>
        <v>Mr. Professional</v>
      </c>
    </row>
    <row r="4" spans="1:14" ht="6" customHeight="1" x14ac:dyDescent="0.35">
      <c r="C4" s="282"/>
      <c r="D4" s="283"/>
    </row>
    <row r="5" spans="1:14" ht="12" customHeight="1" x14ac:dyDescent="0.35">
      <c r="C5" s="282"/>
      <c r="D5" s="283"/>
      <c r="L5" s="248">
        <f ca="1">[1]Blank42!K163</f>
        <v>44412.60115613426</v>
      </c>
      <c r="M5" s="248"/>
      <c r="N5" s="4" t="s">
        <v>67</v>
      </c>
    </row>
    <row r="6" spans="1:14" ht="13.15" x14ac:dyDescent="0.4">
      <c r="A6" s="249"/>
      <c r="B6" s="249"/>
      <c r="C6" s="249"/>
      <c r="D6" s="249"/>
      <c r="E6" s="249"/>
      <c r="F6" s="140" t="str">
        <f>[1]Blank42!F166</f>
        <v>Year1</v>
      </c>
      <c r="G6" s="140" t="str">
        <f>[1]Blank42!G166</f>
        <v>Year2</v>
      </c>
      <c r="H6" s="140" t="str">
        <f>[1]Blank42!H166</f>
        <v>Year3</v>
      </c>
      <c r="I6" s="140" t="str">
        <f>[1]Blank42!I166</f>
        <v>Year4</v>
      </c>
      <c r="J6" s="140" t="str">
        <f>[1]Blank42!J166</f>
        <v>Year5</v>
      </c>
      <c r="K6" s="249"/>
      <c r="L6" s="249"/>
      <c r="M6" s="249"/>
      <c r="N6" s="249"/>
    </row>
    <row r="7" spans="1:14" ht="6" customHeight="1" x14ac:dyDescent="0.35">
      <c r="A7" s="20"/>
      <c r="B7" s="20"/>
      <c r="C7" s="20"/>
      <c r="D7" s="251"/>
      <c r="E7" s="20"/>
      <c r="F7" s="56"/>
      <c r="G7" s="56"/>
      <c r="H7" s="56"/>
      <c r="I7" s="56"/>
      <c r="J7" s="56"/>
      <c r="K7" s="20"/>
      <c r="L7" s="20"/>
      <c r="M7" s="20"/>
      <c r="N7" s="20"/>
    </row>
    <row r="8" spans="1:14" x14ac:dyDescent="0.35">
      <c r="A8" s="20"/>
      <c r="B8" s="20"/>
      <c r="C8" s="20"/>
      <c r="D8" s="20"/>
      <c r="E8" s="263" t="str">
        <f>[1]Blank42!E168</f>
        <v>Net Income</v>
      </c>
      <c r="F8" s="68">
        <f>IF([1]Blank42!F168=0,FIXED(0,0,0),[1]Blank42!F168)</f>
        <v>97.218252939531553</v>
      </c>
      <c r="G8" s="68">
        <f>IF([1]Blank42!G168=0,FIXED(0,0,0),[1]Blank42!G168)</f>
        <v>149.63151372450014</v>
      </c>
      <c r="H8" s="68">
        <f>IF([1]Blank42!H168=0,FIXED(0,0,0),[1]Blank42!H168)</f>
        <v>207.11420979307854</v>
      </c>
      <c r="I8" s="68">
        <f>IF([1]Blank42!I168=0,FIXED(0,0,0),[1]Blank42!I168)</f>
        <v>270.06811967128567</v>
      </c>
      <c r="J8" s="68">
        <f>IF([1]Blank42!J168=0,FIXED(0,0,0),[1]Blank42!J168)</f>
        <v>338.91795404776406</v>
      </c>
      <c r="K8" s="20"/>
      <c r="L8" s="20"/>
      <c r="M8" s="20"/>
      <c r="N8" s="20"/>
    </row>
    <row r="9" spans="1:14" x14ac:dyDescent="0.35">
      <c r="A9" s="20"/>
      <c r="B9" s="20"/>
      <c r="C9" s="20"/>
      <c r="D9" s="20"/>
      <c r="E9" s="263" t="str">
        <f>[1]Blank42!E169</f>
        <v>Depreciation</v>
      </c>
      <c r="F9" s="68">
        <f>IF([1]Blank42!F169=0,FIXED(0,0,0),[1]Blank42!F169)</f>
        <v>215.75</v>
      </c>
      <c r="G9" s="68">
        <f>IF([1]Blank42!G169=0,FIXED(0,0,0),[1]Blank42!G169)</f>
        <v>232.28750000000002</v>
      </c>
      <c r="H9" s="68">
        <f>IF([1]Blank42!H169=0,FIXED(0,0,0),[1]Blank42!H169)</f>
        <v>249.65187500000002</v>
      </c>
      <c r="I9" s="68">
        <f>IF([1]Blank42!I169=0,FIXED(0,0,0),[1]Blank42!I169)</f>
        <v>267.88446875</v>
      </c>
      <c r="J9" s="68">
        <f>IF([1]Blank42!J169=0,FIXED(0,0,0),[1]Blank42!J169)</f>
        <v>287.02869218750004</v>
      </c>
      <c r="K9" s="20"/>
      <c r="L9" s="20"/>
      <c r="M9" s="20"/>
      <c r="N9" s="20"/>
    </row>
    <row r="10" spans="1:14" x14ac:dyDescent="0.35">
      <c r="A10" s="20"/>
      <c r="B10" s="20"/>
      <c r="C10" s="20"/>
      <c r="D10" s="20"/>
      <c r="E10" s="263" t="str">
        <f>[1]Blank42!E170</f>
        <v>Non-Compete Amortization</v>
      </c>
      <c r="F10" s="68" t="str">
        <f>IF([1]Blank42!F170=0,FIXED(0,0,0),[1]Blank42!F170)</f>
        <v>0</v>
      </c>
      <c r="G10" s="68" t="str">
        <f>IF([1]Blank42!G170=0,FIXED(0,0,0),[1]Blank42!G170)</f>
        <v>0</v>
      </c>
      <c r="H10" s="68" t="str">
        <f>IF([1]Blank42!H170=0,FIXED(0,0,0),[1]Blank42!H170)</f>
        <v>0</v>
      </c>
      <c r="I10" s="68" t="str">
        <f>IF([1]Blank42!I170=0,FIXED(0,0,0),[1]Blank42!I170)</f>
        <v>0</v>
      </c>
      <c r="J10" s="68" t="str">
        <f>IF([1]Blank42!J170=0,FIXED(0,0,0),[1]Blank42!J170)</f>
        <v>0</v>
      </c>
      <c r="K10" s="20"/>
      <c r="L10" s="20"/>
      <c r="M10" s="20"/>
      <c r="N10" s="20"/>
    </row>
    <row r="11" spans="1:14" x14ac:dyDescent="0.35">
      <c r="A11" s="20"/>
      <c r="B11" s="20"/>
      <c r="C11" s="20"/>
      <c r="D11" s="20"/>
      <c r="E11" s="263" t="str">
        <f>[1]Blank42!E171</f>
        <v>Personal Goodwill Amortization</v>
      </c>
      <c r="F11" s="68" t="str">
        <f>IF([1]Blank42!F171=0,FIXED(0,0,0),[1]Blank42!F171)</f>
        <v>0</v>
      </c>
      <c r="G11" s="68" t="str">
        <f>IF([1]Blank42!G171=0,FIXED(0,0,0),[1]Blank42!G171)</f>
        <v>0</v>
      </c>
      <c r="H11" s="68" t="str">
        <f>IF([1]Blank42!H171=0,FIXED(0,0,0),[1]Blank42!H171)</f>
        <v>0</v>
      </c>
      <c r="I11" s="68" t="str">
        <f>IF([1]Blank42!I171=0,FIXED(0,0,0),[1]Blank42!I171)</f>
        <v>0</v>
      </c>
      <c r="J11" s="68" t="str">
        <f>IF([1]Blank42!J171=0,FIXED(0,0,0),[1]Blank42!J171)</f>
        <v>0</v>
      </c>
      <c r="K11" s="20"/>
      <c r="L11" s="20"/>
      <c r="M11" s="20"/>
      <c r="N11" s="20"/>
    </row>
    <row r="12" spans="1:14" x14ac:dyDescent="0.35">
      <c r="A12" s="20"/>
      <c r="B12" s="20"/>
      <c r="C12" s="20"/>
      <c r="D12" s="20"/>
      <c r="E12" s="56" t="str">
        <f>[1]Blank42!E172</f>
        <v>Prepaid Consulting Amortization</v>
      </c>
      <c r="F12" s="68" t="str">
        <f>IF([1]Blank42!F172=0,FIXED(0,0,0),[1]Blank42!F172)</f>
        <v>0</v>
      </c>
      <c r="G12" s="68" t="str">
        <f>IF([1]Blank42!G172=0,FIXED(0,0,0),[1]Blank42!G172)</f>
        <v>0</v>
      </c>
      <c r="H12" s="68" t="str">
        <f>IF([1]Blank42!H172=0,FIXED(0,0,0),[1]Blank42!H172)</f>
        <v>0</v>
      </c>
      <c r="I12" s="68" t="str">
        <f>IF([1]Blank42!I172=0,FIXED(0,0,0),[1]Blank42!I172)</f>
        <v>0</v>
      </c>
      <c r="J12" s="68" t="str">
        <f>IF([1]Blank42!J172=0,FIXED(0,0,0),[1]Blank42!J172)</f>
        <v>0</v>
      </c>
      <c r="K12" s="20"/>
      <c r="L12" s="20"/>
      <c r="M12" s="20"/>
      <c r="N12" s="20"/>
    </row>
    <row r="13" spans="1:14" x14ac:dyDescent="0.35">
      <c r="A13" s="20"/>
      <c r="B13" s="20"/>
      <c r="C13" s="20"/>
      <c r="D13" s="20"/>
      <c r="E13" s="263" t="str">
        <f>[1]Blank42!E173</f>
        <v>Acquisition Cost Amortization</v>
      </c>
      <c r="F13" s="68">
        <f>IF([1]Blank42!F173=0,FIXED(0,0,0),[1]Blank42!F173)</f>
        <v>14.690560591944694</v>
      </c>
      <c r="G13" s="68">
        <f>IF([1]Blank42!G173=0,FIXED(0,0,0),[1]Blank42!G173)</f>
        <v>14.690560591944694</v>
      </c>
      <c r="H13" s="68">
        <f>IF([1]Blank42!H173=0,FIXED(0,0,0),[1]Blank42!H173)</f>
        <v>14.690560591944694</v>
      </c>
      <c r="I13" s="68">
        <f>IF([1]Blank42!I173=0,FIXED(0,0,0),[1]Blank42!I173)</f>
        <v>14.690560591944694</v>
      </c>
      <c r="J13" s="68">
        <f>IF([1]Blank42!J173=0,FIXED(0,0,0),[1]Blank42!J173)</f>
        <v>14.690560591944694</v>
      </c>
      <c r="K13" s="20"/>
      <c r="L13" s="20"/>
      <c r="M13" s="20"/>
      <c r="N13" s="20"/>
    </row>
    <row r="14" spans="1:14" x14ac:dyDescent="0.35">
      <c r="A14" s="20"/>
      <c r="B14" s="20"/>
      <c r="C14" s="20"/>
      <c r="D14" s="20"/>
      <c r="E14" s="263" t="str">
        <f>[1]Blank42!E174</f>
        <v>Goodwill Amortization</v>
      </c>
      <c r="F14" s="68">
        <f>IF([1]Blank42!F174=0,FIXED(0,0,0),[1]Blank42!F174)</f>
        <v>164.84267653241156</v>
      </c>
      <c r="G14" s="68">
        <f>IF([1]Blank42!G174=0,FIXED(0,0,0),[1]Blank42!G174)</f>
        <v>164.84267653241156</v>
      </c>
      <c r="H14" s="68">
        <f>IF([1]Blank42!H174=0,FIXED(0,0,0),[1]Blank42!H174)</f>
        <v>164.84267653241156</v>
      </c>
      <c r="I14" s="68">
        <f>IF([1]Blank42!I174=0,FIXED(0,0,0),[1]Blank42!I174)</f>
        <v>164.84267653241156</v>
      </c>
      <c r="J14" s="68">
        <f>IF([1]Blank42!J174=0,FIXED(0,0,0),[1]Blank42!J174)</f>
        <v>164.84267653241156</v>
      </c>
      <c r="K14" s="20"/>
      <c r="L14" s="20"/>
      <c r="M14" s="20"/>
      <c r="N14" s="20"/>
    </row>
    <row r="15" spans="1:14" x14ac:dyDescent="0.35">
      <c r="A15" s="20"/>
      <c r="B15" s="20"/>
      <c r="C15" s="20"/>
      <c r="D15" s="20"/>
      <c r="E15" s="263" t="str">
        <f>[1]Blank42!E175</f>
        <v>WC Change</v>
      </c>
      <c r="F15" s="68">
        <f>IF([1]Blank42!F175=0,FIXED(0,0,0),[1]Blank42!F175)</f>
        <v>-60</v>
      </c>
      <c r="G15" s="68">
        <f>IF([1]Blank42!G175=0,FIXED(0,0,0),[1]Blank42!G175)</f>
        <v>-63</v>
      </c>
      <c r="H15" s="68">
        <f>IF([1]Blank42!H175=0,FIXED(0,0,0),[1]Blank42!H175)</f>
        <v>-66.150000000000091</v>
      </c>
      <c r="I15" s="68">
        <f>IF([1]Blank42!I175=0,FIXED(0,0,0),[1]Blank42!I175)</f>
        <v>-69.457499999999982</v>
      </c>
      <c r="J15" s="68">
        <f>IF([1]Blank42!J175=0,FIXED(0,0,0),[1]Blank42!J175)</f>
        <v>-72.930375000000367</v>
      </c>
      <c r="K15" s="20"/>
      <c r="L15" s="20"/>
      <c r="M15" s="20"/>
      <c r="N15" s="20"/>
    </row>
    <row r="16" spans="1:14" x14ac:dyDescent="0.35">
      <c r="A16" s="20"/>
      <c r="B16" s="20"/>
      <c r="C16" s="20"/>
      <c r="D16" s="20"/>
      <c r="E16" s="263" t="str">
        <f>[1]Blank42!E176</f>
        <v>Revolver Paydown due to WC</v>
      </c>
      <c r="F16" s="68" t="str">
        <f>IF([1]Blank42!F176=0,FIXED(0,0,0),[1]Blank42!F176)</f>
        <v>0</v>
      </c>
      <c r="G16" s="68" t="str">
        <f>IF([1]Blank42!G176=0,FIXED(0,0,0),[1]Blank42!G176)</f>
        <v>0</v>
      </c>
      <c r="H16" s="68" t="str">
        <f>IF([1]Blank42!H176=0,FIXED(0,0,0),[1]Blank42!H176)</f>
        <v>0</v>
      </c>
      <c r="I16" s="68" t="str">
        <f>IF([1]Blank42!I176=0,FIXED(0,0,0),[1]Blank42!I176)</f>
        <v>0</v>
      </c>
      <c r="J16" s="68" t="str">
        <f>IF([1]Blank42!J176=0,FIXED(0,0,0),[1]Blank42!J176)</f>
        <v>0</v>
      </c>
      <c r="K16" s="20"/>
      <c r="L16" s="20"/>
      <c r="M16" s="20"/>
      <c r="N16" s="20"/>
    </row>
    <row r="17" spans="1:14" x14ac:dyDescent="0.35">
      <c r="A17" s="20"/>
      <c r="B17" s="20"/>
      <c r="C17" s="20"/>
      <c r="D17" s="20"/>
      <c r="E17" s="56" t="str">
        <f>[1]Blank42!E177</f>
        <v>Term Loan Payment</v>
      </c>
      <c r="F17" s="68">
        <f>IF([1]Blank42!F216=0,FIXED(0,0,0),[1]Blank42!F216)</f>
        <v>-160</v>
      </c>
      <c r="G17" s="68">
        <f>IF([1]Blank42!G216=0,FIXED(0,0,0),[1]Blank42!G216)</f>
        <v>-160</v>
      </c>
      <c r="H17" s="68">
        <f>IF([1]Blank42!H216=0,FIXED(0,0,0),[1]Blank42!H216)</f>
        <v>-160</v>
      </c>
      <c r="I17" s="68">
        <f>IF([1]Blank42!I216=0,FIXED(0,0,0),[1]Blank42!I216)</f>
        <v>-160</v>
      </c>
      <c r="J17" s="68">
        <f>IF([1]Blank42!J216=0,FIXED(0,0,0),[1]Blank42!J216)</f>
        <v>-160</v>
      </c>
      <c r="K17" s="20"/>
      <c r="L17" s="20"/>
      <c r="M17" s="20"/>
      <c r="N17" s="20"/>
    </row>
    <row r="18" spans="1:14" x14ac:dyDescent="0.35">
      <c r="A18" s="20"/>
      <c r="B18" s="20"/>
      <c r="C18" s="20"/>
      <c r="D18" s="20"/>
      <c r="E18" s="56" t="str">
        <f>[1]Blank42!E178</f>
        <v>Over Advance Loan Payment</v>
      </c>
      <c r="F18" s="68" t="str">
        <f>IF([1]Blank42!F217=0,FIXED(0,0,0),[1]Blank42!F217)</f>
        <v>0</v>
      </c>
      <c r="G18" s="68" t="str">
        <f>IF([1]Blank42!G217=0,FIXED(0,0,0),[1]Blank42!G217)</f>
        <v>0</v>
      </c>
      <c r="H18" s="68" t="str">
        <f>IF([1]Blank42!H217=0,FIXED(0,0,0),[1]Blank42!H217)</f>
        <v>0</v>
      </c>
      <c r="I18" s="68" t="str">
        <f>IF([1]Blank42!I217=0,FIXED(0,0,0),[1]Blank42!I217)</f>
        <v>0</v>
      </c>
      <c r="J18" s="68" t="str">
        <f>IF([1]Blank42!J217=0,FIXED(0,0,0),[1]Blank42!J217)</f>
        <v>0</v>
      </c>
      <c r="K18" s="20"/>
      <c r="L18" s="20"/>
      <c r="M18" s="20"/>
      <c r="N18" s="20"/>
    </row>
    <row r="19" spans="1:14" x14ac:dyDescent="0.35">
      <c r="A19" s="20"/>
      <c r="B19" s="20"/>
      <c r="C19" s="20"/>
      <c r="D19" s="20"/>
      <c r="E19" s="56" t="str">
        <f>[1]Blank42!E179</f>
        <v>Mezzanine Financing Payment</v>
      </c>
      <c r="F19" s="68" t="str">
        <f>IF([1]Blank42!F218=0,FIXED(0,0,0),[1]Blank42!F218)</f>
        <v>0</v>
      </c>
      <c r="G19" s="68" t="str">
        <f>IF([1]Blank42!G218=0,FIXED(0,0,0),[1]Blank42!G218)</f>
        <v>0</v>
      </c>
      <c r="H19" s="68" t="str">
        <f>IF([1]Blank42!H218=0,FIXED(0,0,0),[1]Blank42!H218)</f>
        <v>0</v>
      </c>
      <c r="I19" s="68" t="str">
        <f>IF([1]Blank42!I218=0,FIXED(0,0,0),[1]Blank42!I218)</f>
        <v>0</v>
      </c>
      <c r="J19" s="68" t="str">
        <f>IF([1]Blank42!J218=0,FIXED(0,0,0),[1]Blank42!J218)</f>
        <v>0</v>
      </c>
      <c r="K19" s="20"/>
      <c r="L19" s="20"/>
      <c r="M19" s="20"/>
      <c r="N19" s="20"/>
    </row>
    <row r="20" spans="1:14" x14ac:dyDescent="0.35">
      <c r="A20" s="20"/>
      <c r="B20" s="20"/>
      <c r="C20" s="20"/>
      <c r="D20" s="20"/>
      <c r="E20" s="56" t="str">
        <f>[1]Blank42!E180</f>
        <v>Gap(Seller) Note Payment</v>
      </c>
      <c r="F20" s="68">
        <f>IF([1]Blank42!F219=0,FIXED(0,0,0),[1]Blank42!F219)</f>
        <v>-244.17101969039769</v>
      </c>
      <c r="G20" s="68">
        <f>IF([1]Blank42!G219=0,FIXED(0,0,0),[1]Blank42!G219)</f>
        <v>-244.17101969039769</v>
      </c>
      <c r="H20" s="68">
        <f>IF([1]Blank42!H219=0,FIXED(0,0,0),[1]Blank42!H219)</f>
        <v>-244.17101969039769</v>
      </c>
      <c r="I20" s="68">
        <f>IF([1]Blank42!I219=0,FIXED(0,0,0),[1]Blank42!I219)</f>
        <v>-244.17101969039769</v>
      </c>
      <c r="J20" s="68">
        <f>IF([1]Blank42!J219=0,FIXED(0,0,0),[1]Blank42!J219)</f>
        <v>-244.17101969039774</v>
      </c>
      <c r="K20" s="20"/>
      <c r="L20" s="20"/>
      <c r="M20" s="20"/>
      <c r="N20" s="20"/>
    </row>
    <row r="21" spans="1:14" x14ac:dyDescent="0.35">
      <c r="A21" s="20"/>
      <c r="B21" s="20"/>
      <c r="C21" s="20"/>
      <c r="D21" s="20"/>
      <c r="E21" s="56" t="str">
        <f>[1]Blank42!E181</f>
        <v>Gap(Seller) Balloon Note Payment</v>
      </c>
      <c r="F21" s="68" t="str">
        <f>IF([1]Blank42!F181=0,FIXED(0,0,0),[1]Blank42!F181)</f>
        <v>0</v>
      </c>
      <c r="G21" s="68" t="str">
        <f>IF([1]Blank42!G181=0,FIXED(0,0,0),[1]Blank42!G181)</f>
        <v>0</v>
      </c>
      <c r="H21" s="68" t="str">
        <f>IF([1]Blank42!H181=0,FIXED(0,0,0),[1]Blank42!H181)</f>
        <v>0</v>
      </c>
      <c r="I21" s="68" t="str">
        <f>IF([1]Blank42!I181=0,FIXED(0,0,0),[1]Blank42!I181)</f>
        <v>0</v>
      </c>
      <c r="J21" s="68" t="str">
        <f>IF([1]Blank42!J181=0,FIXED(0,0,0),[1]Blank42!J181)</f>
        <v>0</v>
      </c>
      <c r="K21" s="20"/>
      <c r="L21" s="20"/>
      <c r="M21" s="20"/>
      <c r="N21" s="20"/>
    </row>
    <row r="22" spans="1:14" x14ac:dyDescent="0.35">
      <c r="A22" s="20"/>
      <c r="B22" s="20"/>
      <c r="C22" s="20"/>
      <c r="D22" s="20"/>
      <c r="E22" s="56" t="str">
        <f>[1]Blank42!E182</f>
        <v>Remaining Non-Compete Payment</v>
      </c>
      <c r="F22" s="68" t="str">
        <f>IF([1]Blank42!F182=0,FIXED(0,0,0),[1]Blank42!F182)</f>
        <v>0</v>
      </c>
      <c r="G22" s="68" t="str">
        <f>IF([1]Blank42!G182=0,FIXED(0,0,0),[1]Blank42!G182)</f>
        <v>0</v>
      </c>
      <c r="H22" s="68" t="str">
        <f>IF([1]Blank42!H182=0,FIXED(0,0,0),[1]Blank42!H182)</f>
        <v>0</v>
      </c>
      <c r="I22" s="68" t="str">
        <f>IF([1]Blank42!I182=0,FIXED(0,0,0),[1]Blank42!I182)</f>
        <v>0</v>
      </c>
      <c r="J22" s="68" t="str">
        <f>IF([1]Blank42!J182=0,FIXED(0,0,0),[1]Blank42!J182)</f>
        <v>0</v>
      </c>
      <c r="K22" s="20"/>
      <c r="L22" s="20"/>
      <c r="M22" s="20"/>
      <c r="N22" s="20"/>
    </row>
    <row r="23" spans="1:14" x14ac:dyDescent="0.35">
      <c r="A23" s="20"/>
      <c r="B23" s="20"/>
      <c r="C23" s="20"/>
      <c r="D23" s="20"/>
      <c r="E23" s="56" t="str">
        <f>[1]Blank42!E183</f>
        <v>Remaining Personal Goodwill Payment</v>
      </c>
      <c r="F23" s="68" t="str">
        <f>IF([1]Blank42!F183=0,FIXED(0,0,0),[1]Blank42!F183)</f>
        <v>0</v>
      </c>
      <c r="G23" s="68" t="str">
        <f>IF([1]Blank42!G183=0,FIXED(0,0,0),[1]Blank42!G183)</f>
        <v>0</v>
      </c>
      <c r="H23" s="68" t="str">
        <f>IF([1]Blank42!H183=0,FIXED(0,0,0),[1]Blank42!H183)</f>
        <v>0</v>
      </c>
      <c r="I23" s="68" t="str">
        <f>IF([1]Blank42!I183=0,FIXED(0,0,0),[1]Blank42!I183)</f>
        <v>0</v>
      </c>
      <c r="J23" s="68" t="str">
        <f>IF([1]Blank42!J183=0,FIXED(0,0,0),[1]Blank42!J183)</f>
        <v>0</v>
      </c>
      <c r="K23" s="20"/>
      <c r="L23" s="20"/>
      <c r="M23" s="20"/>
      <c r="N23" s="20"/>
    </row>
    <row r="24" spans="1:14" x14ac:dyDescent="0.35">
      <c r="A24" s="20"/>
      <c r="B24" s="20"/>
      <c r="C24" s="20"/>
      <c r="D24" s="20"/>
      <c r="E24" s="263" t="str">
        <f>[1]Blank42!E184</f>
        <v>Capital Expenditure</v>
      </c>
      <c r="F24" s="68">
        <f>IF([1]Blank42!F184=0,FIXED(0,0,0),[1]Blank42!F184)</f>
        <v>-78.75</v>
      </c>
      <c r="G24" s="68">
        <f>IF([1]Blank42!G184=0,FIXED(0,0,0),[1]Blank42!G184)</f>
        <v>-82.6875</v>
      </c>
      <c r="H24" s="68">
        <f>IF([1]Blank42!H184=0,FIXED(0,0,0),[1]Blank42!H184)</f>
        <v>-86.821875000000006</v>
      </c>
      <c r="I24" s="68">
        <f>IF([1]Blank42!I184=0,FIXED(0,0,0),[1]Blank42!I184)</f>
        <v>-91.162968750000005</v>
      </c>
      <c r="J24" s="68">
        <f>IF([1]Blank42!J184=0,FIXED(0,0,0),[1]Blank42!J184)</f>
        <v>-95.721117187499999</v>
      </c>
      <c r="K24" s="284"/>
      <c r="L24" s="20"/>
      <c r="M24" s="20"/>
      <c r="N24" s="20"/>
    </row>
    <row r="25" spans="1:14" x14ac:dyDescent="0.35">
      <c r="A25" s="20"/>
      <c r="B25" s="20"/>
      <c r="C25" s="20"/>
      <c r="D25" s="20"/>
      <c r="E25" s="263" t="str">
        <f>[1]Blank42!E185</f>
        <v>Capital Exp Borrowing</v>
      </c>
      <c r="F25" s="68">
        <f>IF([1]Blank42!F185=0,FIXED(0,0,0),[1]Blank42!F185)</f>
        <v>59.0625</v>
      </c>
      <c r="G25" s="68">
        <f>IF([1]Blank42!G185=0,FIXED(0,0,0),[1]Blank42!G185)</f>
        <v>62.015625</v>
      </c>
      <c r="H25" s="68">
        <f>IF([1]Blank42!H185=0,FIXED(0,0,0),[1]Blank42!H185)</f>
        <v>65.116406250000011</v>
      </c>
      <c r="I25" s="68">
        <f>IF([1]Blank42!I185=0,FIXED(0,0,0),[1]Blank42!I185)</f>
        <v>68.372226562500003</v>
      </c>
      <c r="J25" s="68">
        <f>IF([1]Blank42!J185=0,FIXED(0,0,0),[1]Blank42!J185)</f>
        <v>71.790837890624999</v>
      </c>
      <c r="K25" s="257"/>
      <c r="L25" s="20"/>
      <c r="M25" s="20"/>
      <c r="N25" s="20"/>
    </row>
    <row r="26" spans="1:14" x14ac:dyDescent="0.35">
      <c r="A26" s="20"/>
      <c r="B26" s="20"/>
      <c r="C26" s="20"/>
      <c r="D26" s="20"/>
      <c r="E26" s="56" t="str">
        <f>[1]Blank42!E186</f>
        <v>Capital Exp Payments</v>
      </c>
      <c r="F26" s="68">
        <f>IF([1]Blank42!F186=0,FIXED(0,0,0),[1]Blank42!F186)</f>
        <v>-11.8125</v>
      </c>
      <c r="G26" s="68">
        <f>IF([1]Blank42!G186=0,FIXED(0,0,0),[1]Blank42!G186)</f>
        <v>-24.215624999999999</v>
      </c>
      <c r="H26" s="68">
        <f>IF([1]Blank42!H186=0,FIXED(0,0,0),[1]Blank42!H186)</f>
        <v>-37.238906249999999</v>
      </c>
      <c r="I26" s="68">
        <f>IF([1]Blank42!I186=0,FIXED(0,0,0),[1]Blank42!I186)</f>
        <v>-50.913351562499997</v>
      </c>
      <c r="J26" s="68">
        <f>IF([1]Blank42!J186=0,FIXED(0,0,0),[1]Blank42!J186)</f>
        <v>-65.271519140625003</v>
      </c>
      <c r="K26" s="20"/>
      <c r="L26" s="20"/>
      <c r="M26" s="20"/>
      <c r="N26" s="20"/>
    </row>
    <row r="27" spans="1:14" x14ac:dyDescent="0.35">
      <c r="A27" s="20"/>
      <c r="B27" s="20"/>
      <c r="C27" s="20"/>
      <c r="D27" s="20"/>
      <c r="E27" s="56" t="str">
        <f>[1]Blank42!E187</f>
        <v>Earn-out Payments: Price Adj.</v>
      </c>
      <c r="F27" s="68" t="str">
        <f>IF([1]Blank42!F187=0,FIXED(0,0,0),[1]Blank42!F187)</f>
        <v>0</v>
      </c>
      <c r="G27" s="68" t="str">
        <f>IF([1]Blank42!G187=0,FIXED(0,0,0),[1]Blank42!G187)</f>
        <v>0</v>
      </c>
      <c r="H27" s="68" t="str">
        <f>IF([1]Blank42!H187=0,FIXED(0,0,0),[1]Blank42!H187)</f>
        <v>0</v>
      </c>
      <c r="I27" s="68" t="str">
        <f>IF([1]Blank42!I187=0,FIXED(0,0,0),[1]Blank42!I187)</f>
        <v>0</v>
      </c>
      <c r="J27" s="68" t="str">
        <f>IF([1]Blank42!J187=0,FIXED(0,0,0),[1]Blank42!J187)</f>
        <v>0</v>
      </c>
      <c r="K27" s="20"/>
      <c r="L27" s="20"/>
      <c r="M27" s="20"/>
      <c r="N27" s="20"/>
    </row>
    <row r="28" spans="1:14" ht="14.65" x14ac:dyDescent="0.6">
      <c r="A28" s="20"/>
      <c r="B28" s="20"/>
      <c r="C28" s="20"/>
      <c r="D28" s="20"/>
      <c r="E28" s="263" t="str">
        <f>[1]Blank42!E188</f>
        <v>Distribution for S Shareholder Taxes</v>
      </c>
      <c r="F28" s="58">
        <f>IF([1]Blank42!F188=0,FIXED(0,0,0),[1]Blank42!F188)</f>
        <v>-38.887301175812624</v>
      </c>
      <c r="G28" s="58">
        <f>IF([1]Blank42!G188=0,FIXED(0,0,0),[1]Blank42!G188)</f>
        <v>-59.852605489800055</v>
      </c>
      <c r="H28" s="58">
        <f>IF([1]Blank42!H188=0,FIXED(0,0,0),[1]Blank42!H188)</f>
        <v>-82.845683917231426</v>
      </c>
      <c r="I28" s="58">
        <f>IF([1]Blank42!I188=0,FIXED(0,0,0),[1]Blank42!I188)</f>
        <v>-108.02724786851428</v>
      </c>
      <c r="J28" s="58">
        <f>IF([1]Blank42!J188=0,FIXED(0,0,0),[1]Blank42!J188)</f>
        <v>-135.56718161910564</v>
      </c>
      <c r="K28" s="20"/>
      <c r="L28" s="20"/>
      <c r="M28" s="20"/>
      <c r="N28" s="20"/>
    </row>
    <row r="29" spans="1:14" x14ac:dyDescent="0.35">
      <c r="A29" s="20"/>
      <c r="B29" s="20"/>
      <c r="C29" s="20"/>
      <c r="D29" s="20"/>
      <c r="E29" s="56" t="str">
        <f>[1]Blank42!E189</f>
        <v>Operating Cash Flow-Business</v>
      </c>
      <c r="F29" s="68">
        <f>IF([1]Blank42!F189=0,FIXED(0,0,0),[1]Blank42!F189)</f>
        <v>-42.056830802322523</v>
      </c>
      <c r="G29" s="68">
        <f>IF([1]Blank42!G189=0,FIXED(0,0,0),[1]Blank42!G189)</f>
        <v>-10.458874331341391</v>
      </c>
      <c r="H29" s="68">
        <f>IF([1]Blank42!H189=0,FIXED(0,0,0),[1]Blank42!H189)</f>
        <v>24.188243309805586</v>
      </c>
      <c r="I29" s="68">
        <f>IF([1]Blank42!I189=0,FIXED(0,0,0),[1]Blank42!I189)</f>
        <v>62.125964236730056</v>
      </c>
      <c r="J29" s="68">
        <f>IF([1]Blank42!J189=0,FIXED(0,0,0),[1]Blank42!J189)</f>
        <v>103.60950861261662</v>
      </c>
      <c r="K29" s="20"/>
      <c r="L29" s="284"/>
      <c r="M29" s="284"/>
      <c r="N29" s="284"/>
    </row>
    <row r="30" spans="1:14" ht="14.65" x14ac:dyDescent="0.6">
      <c r="A30" s="20"/>
      <c r="B30" s="20"/>
      <c r="C30" s="20"/>
      <c r="D30" s="20"/>
      <c r="E30" s="56" t="str">
        <f>[1]Blank42!E190</f>
        <v>Operating Cash Flow-Real Estate</v>
      </c>
      <c r="F30" s="58" t="str">
        <f>IF([1]Blank42!F190=0,FIXED(0,0,0),[1]Blank42!F190)</f>
        <v>0</v>
      </c>
      <c r="G30" s="58" t="str">
        <f>IF([1]Blank42!G190=0,FIXED(0,0,0),[1]Blank42!G190)</f>
        <v>0</v>
      </c>
      <c r="H30" s="58" t="str">
        <f>IF([1]Blank42!H190=0,FIXED(0,0,0),[1]Blank42!H190)</f>
        <v>0</v>
      </c>
      <c r="I30" s="58" t="str">
        <f>IF([1]Blank42!I190=0,FIXED(0,0,0),[1]Blank42!I190)</f>
        <v>0</v>
      </c>
      <c r="J30" s="58" t="str">
        <f>IF([1]Blank42!J190=0,FIXED(0,0,0),[1]Blank42!J190)</f>
        <v>0</v>
      </c>
      <c r="K30" s="20"/>
      <c r="L30" s="284"/>
      <c r="M30" s="284"/>
      <c r="N30" s="284"/>
    </row>
    <row r="31" spans="1:14" ht="14.65" x14ac:dyDescent="0.6">
      <c r="A31" s="20"/>
      <c r="B31" s="20"/>
      <c r="C31" s="20"/>
      <c r="D31" s="20"/>
      <c r="E31" s="56" t="str">
        <f>[1]Blank42!E191</f>
        <v>Operating Cash Flow-Total</v>
      </c>
      <c r="F31" s="58">
        <f>IF([1]Blank42!F191=0,FIXED(0,0,0),[1]Blank42!F191)</f>
        <v>-42.056830802322523</v>
      </c>
      <c r="G31" s="58">
        <f>IF([1]Blank42!G191=0,FIXED(0,0,0),[1]Blank42!G191)</f>
        <v>-10.458874331341391</v>
      </c>
      <c r="H31" s="58">
        <f>IF([1]Blank42!H191=0,FIXED(0,0,0),[1]Blank42!H191)</f>
        <v>24.188243309805586</v>
      </c>
      <c r="I31" s="58">
        <f>IF([1]Blank42!I191=0,FIXED(0,0,0),[1]Blank42!I191)</f>
        <v>62.125964236730056</v>
      </c>
      <c r="J31" s="58">
        <f>IF([1]Blank42!J191=0,FIXED(0,0,0),[1]Blank42!J191)</f>
        <v>103.60950861261662</v>
      </c>
      <c r="K31" s="115"/>
      <c r="L31" s="284"/>
      <c r="M31" s="284"/>
      <c r="N31" s="284"/>
    </row>
    <row r="32" spans="1:14" ht="3" customHeight="1" x14ac:dyDescent="0.35">
      <c r="A32" s="20"/>
      <c r="B32" s="20"/>
      <c r="C32" s="20"/>
      <c r="D32" s="20"/>
      <c r="E32" s="56"/>
      <c r="F32" s="42"/>
      <c r="G32" s="42"/>
      <c r="H32" s="42"/>
      <c r="I32" s="42"/>
      <c r="J32" s="42"/>
      <c r="K32" s="20"/>
      <c r="L32" s="284"/>
      <c r="M32" s="284"/>
      <c r="N32" s="284"/>
    </row>
    <row r="33" spans="1:14" x14ac:dyDescent="0.35">
      <c r="A33" s="20"/>
      <c r="B33" s="20"/>
      <c r="C33" s="20"/>
      <c r="D33" s="20"/>
      <c r="E33" s="285" t="str">
        <f>[1]Blank42!E193</f>
        <v>Cash Surplus/Deficit</v>
      </c>
      <c r="F33" s="42"/>
      <c r="G33" s="42"/>
      <c r="H33" s="42"/>
      <c r="I33" s="42"/>
      <c r="J33" s="42"/>
      <c r="K33" s="20"/>
      <c r="L33" s="284"/>
      <c r="M33" s="284"/>
      <c r="N33" s="284"/>
    </row>
    <row r="34" spans="1:14" x14ac:dyDescent="0.35">
      <c r="A34" s="20"/>
      <c r="B34" s="20"/>
      <c r="C34" s="20"/>
      <c r="D34" s="20"/>
      <c r="E34" s="56" t="str">
        <f>[1]Blank42!E194</f>
        <v>Beginning Cash Balance</v>
      </c>
      <c r="F34" s="45" t="str">
        <f>IF([1]Blank42!F194=0,FIXED(0,0,0),[1]Blank42!F194)</f>
        <v>0</v>
      </c>
      <c r="G34" s="45" t="str">
        <f>IF([1]Blank42!G194=0,FIXED(0,0,0),[1]Blank42!G194)</f>
        <v>0</v>
      </c>
      <c r="H34" s="45" t="str">
        <f>IF([1]Blank42!H194=0,FIXED(0,0,0),[1]Blank42!H194)</f>
        <v>0</v>
      </c>
      <c r="I34" s="45" t="str">
        <f>IF([1]Blank42!I194=0,FIXED(0,0,0),[1]Blank42!I194)</f>
        <v>0</v>
      </c>
      <c r="J34" s="45" t="str">
        <f>IF([1]Blank42!J194=0,FIXED(0,0,0),[1]Blank42!J194)</f>
        <v>0</v>
      </c>
      <c r="K34" s="20"/>
      <c r="L34" s="284"/>
      <c r="M34" s="284"/>
      <c r="N34" s="284"/>
    </row>
    <row r="35" spans="1:14" x14ac:dyDescent="0.35">
      <c r="A35" s="276"/>
      <c r="B35" s="20"/>
      <c r="C35" s="20"/>
      <c r="D35" s="20"/>
      <c r="E35" s="56" t="str">
        <f>[1]Blank42!E195</f>
        <v>Operating Cash Flow</v>
      </c>
      <c r="F35" s="45">
        <f>IF([1]Blank42!F195=0,FIXED(0,0,0),[1]Blank42!F195)</f>
        <v>-42.056830802322523</v>
      </c>
      <c r="G35" s="45">
        <f>IF([1]Blank42!G195=0,FIXED(0,0,0),[1]Blank42!G195)</f>
        <v>-10.458874331341391</v>
      </c>
      <c r="H35" s="45">
        <f>IF([1]Blank42!H195=0,FIXED(0,0,0),[1]Blank42!H195)</f>
        <v>24.188243309805586</v>
      </c>
      <c r="I35" s="45">
        <f>IF([1]Blank42!I195=0,FIXED(0,0,0),[1]Blank42!I195)</f>
        <v>62.125964236730056</v>
      </c>
      <c r="J35" s="45">
        <f>IF([1]Blank42!J195=0,FIXED(0,0,0),[1]Blank42!J195)</f>
        <v>103.60950861261662</v>
      </c>
      <c r="K35" s="20"/>
      <c r="L35" s="284"/>
      <c r="M35" s="284"/>
      <c r="N35" s="284"/>
    </row>
    <row r="36" spans="1:14" x14ac:dyDescent="0.35">
      <c r="A36" s="276"/>
      <c r="B36" s="20"/>
      <c r="C36" s="20"/>
      <c r="D36" s="20"/>
      <c r="E36" s="56" t="str">
        <f>[1]Blank42!E196</f>
        <v>Operating Cash Requirements</v>
      </c>
      <c r="F36" s="45" t="str">
        <f>IF([1]Blank42!F196=0,FIXED(0,0,0),[1]Blank42!F196)</f>
        <v>0</v>
      </c>
      <c r="G36" s="45" t="str">
        <f>IF([1]Blank42!G196=0,FIXED(0,0,0),[1]Blank42!G196)</f>
        <v>0</v>
      </c>
      <c r="H36" s="45" t="str">
        <f>IF([1]Blank42!H196=0,FIXED(0,0,0),[1]Blank42!H196)</f>
        <v>0</v>
      </c>
      <c r="I36" s="45" t="str">
        <f>IF([1]Blank42!I196=0,FIXED(0,0,0),[1]Blank42!I196)</f>
        <v>0</v>
      </c>
      <c r="J36" s="45" t="str">
        <f>IF([1]Blank42!J196=0,FIXED(0,0,0),[1]Blank42!J196)</f>
        <v>0</v>
      </c>
      <c r="K36" s="20"/>
      <c r="L36" s="284"/>
      <c r="M36" s="284"/>
      <c r="N36" s="284"/>
    </row>
    <row r="37" spans="1:14" ht="14.65" x14ac:dyDescent="0.6">
      <c r="A37" s="20"/>
      <c r="B37" s="20"/>
      <c r="C37" s="20"/>
      <c r="D37" s="20"/>
      <c r="E37" s="56" t="str">
        <f>[1]Blank42!E197</f>
        <v>Cash Reserve  @ Year End</v>
      </c>
      <c r="F37" s="50" t="str">
        <f>IF([1]Blank42!F197=0,FIXED(0,0,0),[1]Blank42!F197)</f>
        <v>0</v>
      </c>
      <c r="G37" s="50" t="str">
        <f>IF([1]Blank42!G197=0,FIXED(0,0,0),[1]Blank42!G197)</f>
        <v>0</v>
      </c>
      <c r="H37" s="50" t="str">
        <f>IF([1]Blank42!H197=0,FIXED(0,0,0),[1]Blank42!H197)</f>
        <v>0</v>
      </c>
      <c r="I37" s="50" t="str">
        <f>IF([1]Blank42!I197=0,FIXED(0,0,0),[1]Blank42!I197)</f>
        <v>0</v>
      </c>
      <c r="J37" s="50" t="str">
        <f>IF([1]Blank42!J197=0,FIXED(0,0,0),[1]Blank42!J197)</f>
        <v>0</v>
      </c>
      <c r="K37" s="286"/>
      <c r="L37" s="287"/>
      <c r="M37" s="287"/>
      <c r="N37" s="287"/>
    </row>
    <row r="38" spans="1:14" ht="14.65" x14ac:dyDescent="0.6">
      <c r="A38" s="20"/>
      <c r="B38" s="20"/>
      <c r="C38" s="20"/>
      <c r="D38" s="20"/>
      <c r="E38" s="56" t="str">
        <f>[1]Blank42!E198</f>
        <v>Cash Surplus/Deficit b4 New Borrowing</v>
      </c>
      <c r="F38" s="50">
        <f>IF([1]Blank42!F198=0,FIXED(0,0,0),[1]Blank42!F198)</f>
        <v>-42.056830802322523</v>
      </c>
      <c r="G38" s="50">
        <f>IF([1]Blank42!G198=0,FIXED(0,0,0),[1]Blank42!G198)</f>
        <v>-10.458874331341391</v>
      </c>
      <c r="H38" s="50">
        <f>IF([1]Blank42!H198=0,FIXED(0,0,0),[1]Blank42!H198)</f>
        <v>24.188243309805586</v>
      </c>
      <c r="I38" s="50">
        <f>IF([1]Blank42!I198=0,FIXED(0,0,0),[1]Blank42!I198)</f>
        <v>62.125964236730056</v>
      </c>
      <c r="J38" s="50">
        <f>IF([1]Blank42!J198=0,FIXED(0,0,0),[1]Blank42!J198)</f>
        <v>103.60950861261662</v>
      </c>
      <c r="K38" s="286"/>
      <c r="L38" s="287"/>
      <c r="M38" s="287"/>
      <c r="N38" s="287"/>
    </row>
    <row r="39" spans="1:14" ht="6" customHeight="1" x14ac:dyDescent="0.35">
      <c r="A39" s="20"/>
      <c r="B39" s="20"/>
      <c r="C39" s="20"/>
      <c r="D39" s="20"/>
      <c r="E39" s="56"/>
      <c r="F39" s="42"/>
      <c r="G39" s="42"/>
      <c r="H39" s="42"/>
      <c r="I39" s="42"/>
      <c r="J39" s="42"/>
      <c r="K39" s="173"/>
      <c r="L39" s="20"/>
      <c r="M39" s="20"/>
      <c r="N39" s="20"/>
    </row>
    <row r="40" spans="1:14" x14ac:dyDescent="0.35">
      <c r="A40" s="276"/>
      <c r="B40" s="20"/>
      <c r="C40" s="20"/>
      <c r="D40" s="20"/>
      <c r="E40" s="41" t="str">
        <f>[1]Blank42!E200</f>
        <v>Availability:Credit Line</v>
      </c>
      <c r="F40" s="288">
        <f>IF([1]Blank42!F200=0,FIXED(0,0,0),[1]Blank42!F200)</f>
        <v>42</v>
      </c>
      <c r="G40" s="288">
        <f>IF([1]Blank42!G200=0,FIXED(0,0,0),[1]Blank42!G200)</f>
        <v>44.100000000000136</v>
      </c>
      <c r="H40" s="288">
        <f>IF([1]Blank42!H200=0,FIXED(0,0,0),[1]Blank42!H200)</f>
        <v>79.946125668658738</v>
      </c>
      <c r="I40" s="288">
        <f>IF([1]Blank42!I200=0,FIXED(0,0,0),[1]Blank42!I200)</f>
        <v>152.75461897846435</v>
      </c>
      <c r="J40" s="288">
        <f>IF([1]Blank42!J200=0,FIXED(0,0,0),[1]Blank42!J200)</f>
        <v>265.93184571519453</v>
      </c>
      <c r="K40" s="173"/>
      <c r="L40" s="284"/>
      <c r="M40" s="284"/>
      <c r="N40" s="284"/>
    </row>
    <row r="41" spans="1:14" x14ac:dyDescent="0.35">
      <c r="A41" s="20"/>
      <c r="B41" s="20"/>
      <c r="C41" s="20"/>
      <c r="D41" s="20"/>
      <c r="E41" s="56" t="str">
        <f>[1]Blank42!E201</f>
        <v>Additional Revolver</v>
      </c>
      <c r="F41" s="45">
        <f>IF([1]Blank42!F201=0,FIXED(0,0,0),[1]Blank42!F201)</f>
        <v>42</v>
      </c>
      <c r="G41" s="45">
        <f>IF([1]Blank42!G201=0,FIXED(0,0,0),[1]Blank42!G201)</f>
        <v>10.458874331341391</v>
      </c>
      <c r="H41" s="45" t="str">
        <f>IF([1]Blank42!H201=0,FIXED(0,0,0),[1]Blank42!H201)</f>
        <v>0</v>
      </c>
      <c r="I41" s="45" t="str">
        <f>IF([1]Blank42!I201=0,FIXED(0,0,0),[1]Blank42!I201)</f>
        <v>0</v>
      </c>
      <c r="J41" s="45" t="str">
        <f>IF([1]Blank42!J201=0,FIXED(0,0,0),[1]Blank42!J201)</f>
        <v>0</v>
      </c>
      <c r="K41" s="20"/>
      <c r="L41" s="284"/>
      <c r="M41" s="284"/>
      <c r="N41" s="284"/>
    </row>
    <row r="42" spans="1:14" ht="3" customHeight="1" x14ac:dyDescent="0.35">
      <c r="A42" s="276"/>
      <c r="B42" s="20"/>
      <c r="C42" s="20"/>
      <c r="D42" s="20"/>
      <c r="E42" s="56"/>
      <c r="F42" s="42"/>
      <c r="G42" s="42"/>
      <c r="H42" s="42"/>
      <c r="I42" s="42"/>
      <c r="J42" s="42"/>
      <c r="K42" s="20"/>
      <c r="L42" s="284"/>
      <c r="M42" s="284"/>
      <c r="N42" s="284"/>
    </row>
    <row r="43" spans="1:14" ht="14.25" x14ac:dyDescent="0.55000000000000004">
      <c r="A43" s="20"/>
      <c r="B43" s="20"/>
      <c r="C43" s="20"/>
      <c r="D43" s="20"/>
      <c r="E43" s="23" t="str">
        <f>[1]Blank42!E203</f>
        <v>BVX Cash Flow</v>
      </c>
      <c r="F43" s="289">
        <f>IF([1]Blank42!F203=0,FIXED(0,0,0),[1]Blank42!F203)</f>
        <v>-5.68308023225228E-2</v>
      </c>
      <c r="G43" s="289" t="str">
        <f>IF([1]Blank42!G203=0,FIXED(0,0,0),[1]Blank42!G203)</f>
        <v>0</v>
      </c>
      <c r="H43" s="289">
        <f>IF([1]Blank42!H203=0,FIXED(0,0,0),[1]Blank42!H203)</f>
        <v>24.188243309805586</v>
      </c>
      <c r="I43" s="289">
        <f>IF([1]Blank42!I203=0,FIXED(0,0,0),[1]Blank42!I203)</f>
        <v>62.125964236730056</v>
      </c>
      <c r="J43" s="289">
        <f>IF([1]Blank42!J203=0,FIXED(0,0,0),[1]Blank42!J203)</f>
        <v>103.60950861261662</v>
      </c>
      <c r="K43" s="20"/>
      <c r="L43" s="284"/>
      <c r="M43" s="284"/>
      <c r="N43" s="284"/>
    </row>
    <row r="44" spans="1:14" ht="3" customHeight="1" x14ac:dyDescent="0.35">
      <c r="A44" s="20"/>
      <c r="B44" s="20"/>
      <c r="C44" s="20"/>
      <c r="D44" s="20"/>
      <c r="E44" s="285"/>
      <c r="F44" s="42"/>
      <c r="G44" s="42"/>
      <c r="H44" s="42"/>
      <c r="I44" s="42"/>
      <c r="J44" s="42"/>
      <c r="K44" s="20"/>
      <c r="L44" s="284"/>
      <c r="M44" s="284"/>
      <c r="N44" s="284"/>
    </row>
    <row r="45" spans="1:14" ht="12.75" customHeight="1" x14ac:dyDescent="0.35">
      <c r="A45" s="20"/>
      <c r="B45" s="20"/>
      <c r="C45" s="20"/>
      <c r="D45" s="20"/>
      <c r="E45" s="285" t="s">
        <v>68</v>
      </c>
      <c r="F45" s="42"/>
      <c r="G45" s="42"/>
      <c r="H45" s="42"/>
      <c r="I45" s="42"/>
      <c r="J45" s="42"/>
      <c r="K45" s="20"/>
      <c r="L45" s="284"/>
      <c r="M45" s="284"/>
      <c r="N45" s="284"/>
    </row>
    <row r="46" spans="1:14" x14ac:dyDescent="0.35">
      <c r="A46" s="20"/>
      <c r="B46" s="20"/>
      <c r="C46" s="20"/>
      <c r="D46" s="20"/>
      <c r="E46" s="56" t="str">
        <f>[1]Blank42!E205</f>
        <v>Add'l Capital Contribution</v>
      </c>
      <c r="F46" s="45">
        <f>IF([1]Blank42!F205=0,FIXED(0,0,0),[1]Blank42!F205)</f>
        <v>5.68308023225228E-2</v>
      </c>
      <c r="G46" s="45" t="str">
        <f>IF([1]Blank42!G205=0,FIXED(0,0,0),[1]Blank42!G205)</f>
        <v>0</v>
      </c>
      <c r="H46" s="45" t="str">
        <f>IF([1]Blank42!H205=0,FIXED(0,0,0),[1]Blank42!H205)</f>
        <v>0</v>
      </c>
      <c r="I46" s="45" t="str">
        <f>IF([1]Blank42!I205=0,FIXED(0,0,0),[1]Blank42!I205)</f>
        <v>0</v>
      </c>
      <c r="J46" s="45" t="str">
        <f>IF([1]Blank42!J205=0,FIXED(0,0,0),[1]Blank42!J205)</f>
        <v>0</v>
      </c>
      <c r="K46" s="20"/>
      <c r="L46" s="284"/>
      <c r="M46" s="284"/>
      <c r="N46" s="284"/>
    </row>
    <row r="47" spans="1:14" x14ac:dyDescent="0.35">
      <c r="A47" s="20"/>
      <c r="B47" s="20"/>
      <c r="C47" s="20"/>
      <c r="D47" s="20"/>
      <c r="E47" s="56" t="str">
        <f>[1]Blank42!E206</f>
        <v>Dividend Distribution-Regular</v>
      </c>
      <c r="F47" s="45" t="str">
        <f>IF([1]Blank42!F206=0,FIXED(0,0,0),[1]Blank42!F206)</f>
        <v>0</v>
      </c>
      <c r="G47" s="45" t="str">
        <f>IF([1]Blank42!G206=0,FIXED(0,0,0),[1]Blank42!G206)</f>
        <v>0</v>
      </c>
      <c r="H47" s="45" t="str">
        <f>IF([1]Blank42!H206=0,FIXED(0,0,0),[1]Blank42!H206)</f>
        <v>0</v>
      </c>
      <c r="I47" s="45" t="str">
        <f>IF([1]Blank42!I206=0,FIXED(0,0,0),[1]Blank42!I206)</f>
        <v>0</v>
      </c>
      <c r="J47" s="45" t="str">
        <f>IF([1]Blank42!J206=0,FIXED(0,0,0),[1]Blank42!J206)</f>
        <v>0</v>
      </c>
      <c r="K47" s="290"/>
      <c r="L47" s="284"/>
      <c r="M47" s="284"/>
      <c r="N47" s="284"/>
    </row>
    <row r="48" spans="1:14" x14ac:dyDescent="0.35">
      <c r="A48" s="20"/>
      <c r="B48" s="20"/>
      <c r="C48" s="20"/>
      <c r="D48" s="20"/>
      <c r="E48" s="56" t="str">
        <f>[1]Blank42!E207</f>
        <v>Add'l Over Advance Loan Paydown</v>
      </c>
      <c r="F48" s="45" t="str">
        <f>IF([1]Blank42!F207=0,FIXED(0,0,0),[1]Blank42!F207)</f>
        <v>0</v>
      </c>
      <c r="G48" s="45" t="str">
        <f>IF([1]Blank42!G207=0,FIXED(0,0,0),[1]Blank42!G207)</f>
        <v>0</v>
      </c>
      <c r="H48" s="45" t="str">
        <f>IF([1]Blank42!H207=0,FIXED(0,0,0),[1]Blank42!H207)</f>
        <v>0</v>
      </c>
      <c r="I48" s="45" t="str">
        <f>IF([1]Blank42!I207=0,FIXED(0,0,0),[1]Blank42!I207)</f>
        <v>0</v>
      </c>
      <c r="J48" s="45" t="str">
        <f>IF([1]Blank42!J207=0,FIXED(0,0,0),[1]Blank42!J207)</f>
        <v>0</v>
      </c>
      <c r="K48" s="290"/>
      <c r="L48" s="284"/>
      <c r="M48" s="284"/>
      <c r="N48" s="284"/>
    </row>
    <row r="49" spans="1:14" x14ac:dyDescent="0.35">
      <c r="A49" s="20"/>
      <c r="B49" s="20"/>
      <c r="C49" s="20"/>
      <c r="D49" s="20"/>
      <c r="E49" s="56" t="str">
        <f>[1]Blank42!E208</f>
        <v>Add'l Revolver Paydown</v>
      </c>
      <c r="F49" s="45" t="str">
        <f>IF([1]Blank42!F208=0,FIXED(0,0,0),[1]Blank42!F208)</f>
        <v>0</v>
      </c>
      <c r="G49" s="45" t="str">
        <f>IF([1]Blank42!G208=0,FIXED(0,0,0),[1]Blank42!G208)</f>
        <v>0</v>
      </c>
      <c r="H49" s="45">
        <f>IF([1]Blank42!H208=0,FIXED(0,0,0),[1]Blank42!H208)</f>
        <v>-24.188243309805586</v>
      </c>
      <c r="I49" s="45">
        <f>IF([1]Blank42!I208=0,FIXED(0,0,0),[1]Blank42!I208)</f>
        <v>-62.125964236730056</v>
      </c>
      <c r="J49" s="45">
        <f>IF([1]Blank42!J208=0,FIXED(0,0,0),[1]Blank42!J208)</f>
        <v>-103.60950861261662</v>
      </c>
      <c r="K49" s="20"/>
      <c r="L49" s="284"/>
      <c r="M49" s="284"/>
      <c r="N49" s="284"/>
    </row>
    <row r="50" spans="1:14" x14ac:dyDescent="0.35">
      <c r="A50" s="20"/>
      <c r="B50" s="20"/>
      <c r="C50" s="20"/>
      <c r="D50" s="20"/>
      <c r="E50" s="56" t="str">
        <f>[1]Blank42!E209</f>
        <v>Add'l Term Loan Paydown</v>
      </c>
      <c r="F50" s="45" t="str">
        <f>IF([1]Blank42!F209=0,FIXED(0,0,0),[1]Blank42!F209)</f>
        <v>0</v>
      </c>
      <c r="G50" s="45" t="str">
        <f>IF([1]Blank42!G209=0,FIXED(0,0,0),[1]Blank42!G209)</f>
        <v>0</v>
      </c>
      <c r="H50" s="45" t="str">
        <f>IF([1]Blank42!H209=0,FIXED(0,0,0),[1]Blank42!H209)</f>
        <v>0</v>
      </c>
      <c r="I50" s="45" t="str">
        <f>IF([1]Blank42!I209=0,FIXED(0,0,0),[1]Blank42!I209)</f>
        <v>0</v>
      </c>
      <c r="J50" s="45" t="str">
        <f>IF([1]Blank42!J209=0,FIXED(0,0,0),[1]Blank42!J209)</f>
        <v>0</v>
      </c>
      <c r="K50" s="20"/>
      <c r="L50" s="284"/>
      <c r="M50" s="284"/>
      <c r="N50" s="284"/>
    </row>
    <row r="51" spans="1:14" x14ac:dyDescent="0.35">
      <c r="A51" s="20"/>
      <c r="B51" s="20"/>
      <c r="C51" s="20"/>
      <c r="D51" s="20"/>
      <c r="E51" s="56" t="str">
        <f>[1]Blank42!E210</f>
        <v>Add'l New Cap Ex Paydown</v>
      </c>
      <c r="F51" s="45" t="str">
        <f>IF([1]Blank42!F210=0,FIXED(0,0,0),[1]Blank42!F210)</f>
        <v>0</v>
      </c>
      <c r="G51" s="45" t="str">
        <f>IF([1]Blank42!G210=0,FIXED(0,0,0),[1]Blank42!G210)</f>
        <v>0</v>
      </c>
      <c r="H51" s="45" t="str">
        <f>IF([1]Blank42!H210=0,FIXED(0,0,0),[1]Blank42!H210)</f>
        <v>0</v>
      </c>
      <c r="I51" s="45" t="str">
        <f>IF([1]Blank42!I210=0,FIXED(0,0,0),[1]Blank42!I210)</f>
        <v>0</v>
      </c>
      <c r="J51" s="45" t="str">
        <f>IF([1]Blank42!J210=0,FIXED(0,0,0),[1]Blank42!J210)</f>
        <v>0</v>
      </c>
      <c r="K51" s="20"/>
      <c r="L51" s="20"/>
      <c r="M51" s="20"/>
      <c r="N51" s="20"/>
    </row>
    <row r="52" spans="1:14" x14ac:dyDescent="0.35">
      <c r="A52" s="20"/>
      <c r="B52" s="20"/>
      <c r="C52" s="20"/>
      <c r="D52" s="20"/>
      <c r="E52" s="56" t="str">
        <f>[1]Blank42!E211</f>
        <v>Add'l Gap(Seller) Note Paydown</v>
      </c>
      <c r="F52" s="45" t="str">
        <f>IF([1]Blank42!F211=0,FIXED(0,0,0),[1]Blank42!F211)</f>
        <v>0</v>
      </c>
      <c r="G52" s="45" t="str">
        <f>IF([1]Blank42!G211=0,FIXED(0,0,0),[1]Blank42!G211)</f>
        <v>0</v>
      </c>
      <c r="H52" s="45" t="str">
        <f>IF([1]Blank42!H211=0,FIXED(0,0,0),[1]Blank42!H211)</f>
        <v>0</v>
      </c>
      <c r="I52" s="45" t="str">
        <f>IF([1]Blank42!I211=0,FIXED(0,0,0),[1]Blank42!I211)</f>
        <v>0</v>
      </c>
      <c r="J52" s="45" t="str">
        <f>IF([1]Blank42!J211=0,FIXED(0,0,0),[1]Blank42!J211)</f>
        <v>0</v>
      </c>
      <c r="K52" s="20"/>
      <c r="L52" s="284"/>
      <c r="M52" s="284"/>
      <c r="N52" s="284"/>
    </row>
    <row r="53" spans="1:14" ht="14.65" x14ac:dyDescent="0.6">
      <c r="A53" s="20"/>
      <c r="B53" s="20"/>
      <c r="C53" s="20"/>
      <c r="D53" s="20"/>
      <c r="E53" s="56" t="str">
        <f>[1]Blank42!E212</f>
        <v>Dividend Distribution-Add'l</v>
      </c>
      <c r="F53" s="50" t="str">
        <f>IF([1]Blank42!F212=0,FIXED(0,0,0),[1]Blank42!F212)</f>
        <v>0</v>
      </c>
      <c r="G53" s="50" t="str">
        <f>IF([1]Blank42!G212=0,FIXED(0,0,0),[1]Blank42!G212)</f>
        <v>0</v>
      </c>
      <c r="H53" s="50" t="str">
        <f>IF([1]Blank42!H212=0,FIXED(0,0,0),[1]Blank42!H212)</f>
        <v>0</v>
      </c>
      <c r="I53" s="50" t="str">
        <f>IF([1]Blank42!I212=0,FIXED(0,0,0),[1]Blank42!I212)</f>
        <v>0</v>
      </c>
      <c r="J53" s="50" t="str">
        <f>IF([1]Blank42!J212=0,FIXED(0,0,0),[1]Blank42!J212)</f>
        <v>0</v>
      </c>
      <c r="K53" s="20"/>
      <c r="L53" s="284"/>
      <c r="M53" s="284"/>
      <c r="N53" s="284"/>
    </row>
    <row r="54" spans="1:14" ht="13.5" x14ac:dyDescent="0.45">
      <c r="A54" s="20"/>
      <c r="B54" s="20"/>
      <c r="C54" s="20"/>
      <c r="D54" s="20"/>
      <c r="E54" s="56" t="str">
        <f>[1]Blank42!E213</f>
        <v>BVX Cash Flow Distribution/Capital Infusion</v>
      </c>
      <c r="F54" s="291">
        <f>IF([1]Blank42!F213=0,FIXED(0,0,0),[1]Blank42!F213)</f>
        <v>5.68308023225228E-2</v>
      </c>
      <c r="G54" s="291" t="str">
        <f>IF([1]Blank42!G213=0,FIXED(0,0,0),[1]Blank42!G213)</f>
        <v>0</v>
      </c>
      <c r="H54" s="291">
        <f>IF([1]Blank42!H213=0,FIXED(0,0,0),[1]Blank42!H213)</f>
        <v>-24.188243309805586</v>
      </c>
      <c r="I54" s="291">
        <f>IF([1]Blank42!I213=0,FIXED(0,0,0),[1]Blank42!I213)</f>
        <v>-62.125964236730056</v>
      </c>
      <c r="J54" s="291">
        <f>IF([1]Blank42!J213=0,FIXED(0,0,0),[1]Blank42!J213)</f>
        <v>-103.60950861261662</v>
      </c>
      <c r="K54" s="20"/>
      <c r="L54" s="284"/>
      <c r="M54" s="284"/>
      <c r="N54" s="284"/>
    </row>
    <row r="55" spans="1:14" ht="6.75" customHeight="1" x14ac:dyDescent="0.35">
      <c r="A55" s="20"/>
      <c r="B55" s="20"/>
      <c r="C55" s="20"/>
      <c r="D55" s="20"/>
      <c r="E55" s="20"/>
      <c r="F55" s="42"/>
      <c r="G55" s="42"/>
      <c r="H55" s="42"/>
      <c r="I55" s="42"/>
      <c r="J55" s="42"/>
      <c r="K55" s="20"/>
      <c r="L55" s="284"/>
      <c r="M55" s="284"/>
      <c r="N55" s="284"/>
    </row>
    <row r="56" spans="1:14" x14ac:dyDescent="0.35">
      <c r="A56" s="281" t="str">
        <f ca="1">ROUND(A60,0)&amp;[1]Blank42!O11</f>
        <v>8164150</v>
      </c>
      <c r="B56" s="270" t="str">
        <f>[1]Blank42!$A$9</f>
        <v>BVX®</v>
      </c>
      <c r="C56" s="20"/>
      <c r="D56" s="20"/>
      <c r="E56" s="56" t="str">
        <f>[1]Blank42!E215</f>
        <v>Change in Cash</v>
      </c>
      <c r="F56" s="45" t="str">
        <f>IF([1]Blank42!F215=0,FIXED(0,0,0),[1]Blank42!F215)</f>
        <v>0</v>
      </c>
      <c r="G56" s="45" t="str">
        <f>IF([1]Blank42!G215=0,FIXED(0,0,0),[1]Blank42!G215)</f>
        <v>0</v>
      </c>
      <c r="H56" s="45" t="str">
        <f>IF([1]Blank42!H215=0,FIXED(0,0,0),[1]Blank42!H215)</f>
        <v>0</v>
      </c>
      <c r="I56" s="45" t="str">
        <f>IF([1]Blank42!I215=0,FIXED(0,0,0),[1]Blank42!I215)</f>
        <v>0</v>
      </c>
      <c r="J56" s="45" t="str">
        <f>IF([1]Blank42!J215=0,FIXED(0,0,0),[1]Blank42!J215)</f>
        <v>0</v>
      </c>
      <c r="K56" s="20"/>
      <c r="L56" s="284"/>
      <c r="M56" s="284"/>
      <c r="N56" s="284"/>
    </row>
    <row r="60" spans="1:14" x14ac:dyDescent="0.35">
      <c r="A60" s="234">
        <f ca="1">'[1]Valuation 1'!$A$44</f>
        <v>816414.83860721253</v>
      </c>
    </row>
  </sheetData>
  <mergeCells count="1">
    <mergeCell ref="L5:M5"/>
  </mergeCells>
  <conditionalFormatting sqref="A56">
    <cfRule type="expression" dxfId="12" priority="1" stopIfTrue="1">
      <formula>$B$41&lt;-0.001*$D$12</formula>
    </cfRule>
  </conditionalFormatting>
  <pageMargins left="0.75" right="0.75" top="1" bottom="1" header="0.5" footer="0.5"/>
  <pageSetup scale="7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8458-2294-427D-8720-C3490E404EEB}">
  <sheetPr codeName="Sheet9">
    <pageSetUpPr fitToPage="1"/>
  </sheetPr>
  <dimension ref="A1:N55"/>
  <sheetViews>
    <sheetView showGridLines="0" zoomScaleNormal="100" workbookViewId="0"/>
  </sheetViews>
  <sheetFormatPr defaultRowHeight="12.75" x14ac:dyDescent="0.35"/>
  <cols>
    <col min="1" max="1" width="12.69140625" style="1" customWidth="1"/>
    <col min="2" max="3" width="9.23046875" style="1"/>
    <col min="4" max="4" width="10.765625" style="1" customWidth="1"/>
    <col min="5" max="10" width="12.15234375" style="1" customWidth="1"/>
    <col min="11" max="11" width="11.3828125" style="1" customWidth="1"/>
    <col min="12" max="14" width="9.23046875" style="1"/>
    <col min="15" max="15" width="10.23046875" style="1" customWidth="1"/>
    <col min="16" max="16384" width="9.23046875" style="1"/>
  </cols>
  <sheetData>
    <row r="1" spans="1:14" ht="6" customHeight="1" x14ac:dyDescent="0.35"/>
    <row r="2" spans="1:14" ht="18" customHeight="1" x14ac:dyDescent="0.5">
      <c r="A2" s="4" t="str">
        <f>[1]Blank42!A334</f>
        <v>Company:</v>
      </c>
      <c r="B2" s="238" t="str">
        <f>[1]Blank42!B334</f>
        <v>Best Business, Inc.</v>
      </c>
      <c r="C2" s="246"/>
      <c r="D2" s="247"/>
      <c r="E2" s="247"/>
      <c r="F2" s="239" t="str">
        <f>[1]Blank42!F333</f>
        <v>Real Estate Financials</v>
      </c>
      <c r="G2" s="247"/>
      <c r="H2" s="247"/>
      <c r="I2" s="247"/>
      <c r="J2" s="247"/>
    </row>
    <row r="3" spans="1:14" ht="15" customHeight="1" x14ac:dyDescent="0.35">
      <c r="A3" s="90" t="str">
        <f>[1]Blank42!A333</f>
        <v>Prepared for:</v>
      </c>
      <c r="B3" s="243" t="str">
        <f>[1]Blank42!B333</f>
        <v>Mr. Client</v>
      </c>
      <c r="C3" s="246"/>
      <c r="D3" s="247"/>
      <c r="E3" s="271" t="str">
        <f>[1]Blank42!H334</f>
        <v>Prepared by:</v>
      </c>
      <c r="F3" s="272" t="str">
        <f>[1]Blank42!I334</f>
        <v>Illinois Corporate Investments Inc.</v>
      </c>
      <c r="G3" s="273"/>
      <c r="H3" s="245"/>
      <c r="I3" s="245"/>
      <c r="J3" s="271" t="str">
        <f>[1]Blank42!E334</f>
        <v>Preparer:</v>
      </c>
      <c r="K3" s="272" t="str">
        <f>[1]Blank42!F334</f>
        <v>Mr. Professional</v>
      </c>
    </row>
    <row r="4" spans="1:14" ht="6" customHeight="1" x14ac:dyDescent="0.35">
      <c r="D4" s="247"/>
      <c r="G4" s="247"/>
      <c r="H4" s="247"/>
      <c r="I4" s="247"/>
      <c r="J4" s="247"/>
      <c r="K4" s="247"/>
      <c r="L4" s="247"/>
    </row>
    <row r="5" spans="1:14" ht="12" customHeight="1" x14ac:dyDescent="0.35">
      <c r="D5" s="247"/>
      <c r="E5" s="247"/>
      <c r="F5" s="247"/>
      <c r="G5" s="247"/>
      <c r="H5" s="247"/>
      <c r="I5" s="247"/>
      <c r="J5" s="247"/>
      <c r="K5" s="247"/>
      <c r="L5" s="248">
        <f ca="1">[1]Blank42!K333</f>
        <v>44412.60115613426</v>
      </c>
      <c r="M5" s="248"/>
      <c r="N5" s="271" t="s">
        <v>93</v>
      </c>
    </row>
    <row r="6" spans="1:14" ht="12" customHeight="1" x14ac:dyDescent="0.4">
      <c r="A6" s="249"/>
      <c r="B6" s="249"/>
      <c r="C6" s="140" t="str">
        <f>[1]Blank42!C336</f>
        <v>RE Income Statement</v>
      </c>
      <c r="D6" s="299"/>
      <c r="E6" s="299"/>
      <c r="F6" s="140" t="str">
        <f>[1]Blank42!F336</f>
        <v>Year1</v>
      </c>
      <c r="G6" s="140" t="str">
        <f>[1]Blank42!G336</f>
        <v>Year2</v>
      </c>
      <c r="H6" s="140" t="str">
        <f>[1]Blank42!H336</f>
        <v>Year3</v>
      </c>
      <c r="I6" s="140" t="str">
        <f>[1]Blank42!I336</f>
        <v>Year4</v>
      </c>
      <c r="J6" s="140" t="str">
        <f>[1]Blank42!J336</f>
        <v>Year5</v>
      </c>
      <c r="K6" s="139"/>
      <c r="L6" s="139"/>
      <c r="M6" s="139"/>
      <c r="N6" s="139"/>
    </row>
    <row r="7" spans="1:14" ht="6" customHeight="1" x14ac:dyDescent="0.4">
      <c r="A7" s="20"/>
      <c r="B7" s="20"/>
      <c r="C7" s="300"/>
      <c r="D7" s="257"/>
      <c r="E7" s="257"/>
      <c r="F7" s="285"/>
      <c r="G7" s="285"/>
      <c r="H7" s="285"/>
      <c r="I7" s="285"/>
      <c r="J7" s="285"/>
      <c r="K7" s="257"/>
      <c r="L7" s="257"/>
      <c r="M7" s="257"/>
      <c r="N7" s="257"/>
    </row>
    <row r="8" spans="1:14" ht="12" customHeight="1" x14ac:dyDescent="0.35">
      <c r="A8" s="20"/>
      <c r="B8" s="20"/>
      <c r="C8" s="72" t="str">
        <f>[1]Blank42!C338</f>
        <v>Rent from the Business</v>
      </c>
      <c r="D8" s="337"/>
      <c r="E8" s="257"/>
      <c r="F8" s="45" t="str">
        <f>IF([1]Blank42!F338=0,FIXED(0,0,0),[1]Blank42!F338)</f>
        <v>0</v>
      </c>
      <c r="G8" s="45" t="str">
        <f>IF([1]Blank42!G338=0,FIXED(0,0,0),[1]Blank42!G338)</f>
        <v>0</v>
      </c>
      <c r="H8" s="45" t="str">
        <f>IF([1]Blank42!H338=0,FIXED(0,0,0),[1]Blank42!H338)</f>
        <v>0</v>
      </c>
      <c r="I8" s="45" t="str">
        <f>IF([1]Blank42!I338=0,FIXED(0,0,0),[1]Blank42!I338)</f>
        <v>0</v>
      </c>
      <c r="J8" s="45" t="str">
        <f>IF([1]Blank42!J338=0,FIXED(0,0,0),[1]Blank42!J338)</f>
        <v>0</v>
      </c>
      <c r="K8" s="257"/>
      <c r="L8" s="257"/>
      <c r="M8" s="257"/>
      <c r="N8" s="257"/>
    </row>
    <row r="9" spans="1:14" ht="12" customHeight="1" x14ac:dyDescent="0.35">
      <c r="A9" s="20"/>
      <c r="B9" s="20"/>
      <c r="C9" s="72" t="str">
        <f>[1]Blank42!C339</f>
        <v>Depreciation</v>
      </c>
      <c r="D9" s="337"/>
      <c r="E9" s="257"/>
      <c r="F9" s="45" t="str">
        <f>IF([1]Blank42!F339=0,FIXED(0,0,0),[1]Blank42!F339)</f>
        <v>0</v>
      </c>
      <c r="G9" s="45" t="str">
        <f>IF([1]Blank42!G339=0,FIXED(0,0,0),[1]Blank42!G339)</f>
        <v>0</v>
      </c>
      <c r="H9" s="45" t="str">
        <f>IF([1]Blank42!H339=0,FIXED(0,0,0),[1]Blank42!H339)</f>
        <v>0</v>
      </c>
      <c r="I9" s="45" t="str">
        <f>IF([1]Blank42!I339=0,FIXED(0,0,0),[1]Blank42!I339)</f>
        <v>0</v>
      </c>
      <c r="J9" s="45" t="str">
        <f>IF([1]Blank42!J339=0,FIXED(0,0,0),[1]Blank42!J339)</f>
        <v>0</v>
      </c>
      <c r="K9" s="257"/>
      <c r="L9" s="257"/>
      <c r="M9" s="257"/>
      <c r="N9" s="257"/>
    </row>
    <row r="10" spans="1:14" ht="12" customHeight="1" x14ac:dyDescent="0.35">
      <c r="A10" s="20"/>
      <c r="B10" s="20"/>
      <c r="C10" s="72" t="str">
        <f>[1]Blank42!C340</f>
        <v>Interest</v>
      </c>
      <c r="D10" s="338"/>
      <c r="E10" s="257"/>
      <c r="F10" s="45" t="str">
        <f>IF([1]Blank42!F340=0,FIXED(0,0,0),[1]Blank42!F340)</f>
        <v>0</v>
      </c>
      <c r="G10" s="45" t="str">
        <f>IF([1]Blank42!G340=0,FIXED(0,0,0),[1]Blank42!G340)</f>
        <v>0</v>
      </c>
      <c r="H10" s="45" t="str">
        <f>IF([1]Blank42!H340=0,FIXED(0,0,0),[1]Blank42!H340)</f>
        <v>0</v>
      </c>
      <c r="I10" s="45" t="str">
        <f>IF([1]Blank42!I340=0,FIXED(0,0,0),[1]Blank42!I340)</f>
        <v>0</v>
      </c>
      <c r="J10" s="45" t="str">
        <f>IF([1]Blank42!J340=0,FIXED(0,0,0),[1]Blank42!J340)</f>
        <v>0</v>
      </c>
      <c r="K10" s="257"/>
      <c r="L10" s="257"/>
      <c r="M10" s="257"/>
      <c r="N10" s="257"/>
    </row>
    <row r="11" spans="1:14" ht="13.5" customHeight="1" x14ac:dyDescent="0.6">
      <c r="A11" s="20"/>
      <c r="B11" s="20"/>
      <c r="C11" s="72" t="str">
        <f>[1]Blank42!C341</f>
        <v>Expenses</v>
      </c>
      <c r="D11" s="337"/>
      <c r="E11" s="257"/>
      <c r="F11" s="50" t="str">
        <f>IF([1]Blank42!F341=0,FIXED(0,0,0),[1]Blank42!F341)</f>
        <v>0</v>
      </c>
      <c r="G11" s="50" t="str">
        <f>IF([1]Blank42!G341=0,FIXED(0,0,0),[1]Blank42!G341)</f>
        <v>0</v>
      </c>
      <c r="H11" s="50" t="str">
        <f>IF([1]Blank42!H341=0,FIXED(0,0,0),[1]Blank42!H341)</f>
        <v>0</v>
      </c>
      <c r="I11" s="50" t="str">
        <f>IF([1]Blank42!I341=0,FIXED(0,0,0),[1]Blank42!I341)</f>
        <v>0</v>
      </c>
      <c r="J11" s="50" t="str">
        <f>IF([1]Blank42!J341=0,FIXED(0,0,0),[1]Blank42!J341)</f>
        <v>0</v>
      </c>
      <c r="K11" s="257"/>
      <c r="L11" s="257"/>
      <c r="M11" s="257"/>
      <c r="N11" s="257"/>
    </row>
    <row r="12" spans="1:14" ht="12" customHeight="1" x14ac:dyDescent="0.35">
      <c r="A12" s="20"/>
      <c r="B12" s="20"/>
      <c r="C12" s="72" t="str">
        <f>[1]Blank42!C342</f>
        <v>Taxable Income</v>
      </c>
      <c r="D12" s="337"/>
      <c r="E12" s="257"/>
      <c r="F12" s="45" t="str">
        <f>IF([1]Blank42!F342=0,FIXED(0,0,0),[1]Blank42!F342)</f>
        <v>0</v>
      </c>
      <c r="G12" s="45" t="str">
        <f>IF([1]Blank42!G342=0,FIXED(0,0,0),[1]Blank42!G342)</f>
        <v>0</v>
      </c>
      <c r="H12" s="45" t="str">
        <f>IF([1]Blank42!H342=0,FIXED(0,0,0),[1]Blank42!H342)</f>
        <v>0</v>
      </c>
      <c r="I12" s="45" t="str">
        <f>IF([1]Blank42!I342=0,FIXED(0,0,0),[1]Blank42!I342)</f>
        <v>0</v>
      </c>
      <c r="J12" s="45" t="str">
        <f>IF([1]Blank42!J342=0,FIXED(0,0,0),[1]Blank42!J342)</f>
        <v>0</v>
      </c>
      <c r="K12" s="257"/>
      <c r="L12" s="257"/>
      <c r="M12" s="257"/>
      <c r="N12" s="257"/>
    </row>
    <row r="13" spans="1:14" ht="12" customHeight="1" x14ac:dyDescent="0.35">
      <c r="A13" s="20"/>
      <c r="B13" s="20"/>
      <c r="C13" s="72" t="str">
        <f>[1]Blank42!C343</f>
        <v>Corp. Taxes: State</v>
      </c>
      <c r="D13" s="257"/>
      <c r="E13" s="257"/>
      <c r="F13" s="45" t="str">
        <f>IF([1]Blank42!F343=0,FIXED(0,0,0),[1]Blank42!F343)</f>
        <v>0</v>
      </c>
      <c r="G13" s="45" t="str">
        <f>IF([1]Blank42!G343=0,FIXED(0,0,0),[1]Blank42!G343)</f>
        <v>0</v>
      </c>
      <c r="H13" s="45" t="str">
        <f>IF([1]Blank42!H343=0,FIXED(0,0,0),[1]Blank42!H343)</f>
        <v>0</v>
      </c>
      <c r="I13" s="45" t="str">
        <f>IF([1]Blank42!I343=0,FIXED(0,0,0),[1]Blank42!I343)</f>
        <v>0</v>
      </c>
      <c r="J13" s="45" t="str">
        <f>IF([1]Blank42!J343=0,FIXED(0,0,0),[1]Blank42!J343)</f>
        <v>0</v>
      </c>
      <c r="K13" s="257"/>
      <c r="L13" s="257"/>
      <c r="M13" s="257"/>
      <c r="N13" s="257"/>
    </row>
    <row r="14" spans="1:14" ht="13.5" customHeight="1" x14ac:dyDescent="0.6">
      <c r="A14" s="20"/>
      <c r="B14" s="20"/>
      <c r="C14" s="72" t="str">
        <f>[1]Blank42!C344</f>
        <v>Corp. Taxes: Federal</v>
      </c>
      <c r="D14" s="257"/>
      <c r="E14" s="257"/>
      <c r="F14" s="50" t="str">
        <f>IF([1]Blank42!F344=0,FIXED(0,0,0),[1]Blank42!F344)</f>
        <v>0</v>
      </c>
      <c r="G14" s="50" t="str">
        <f>IF([1]Blank42!G344=0,FIXED(0,0,0),[1]Blank42!G344)</f>
        <v>0</v>
      </c>
      <c r="H14" s="50" t="str">
        <f>IF([1]Blank42!H344=0,FIXED(0,0,0),[1]Blank42!H344)</f>
        <v>0</v>
      </c>
      <c r="I14" s="50" t="str">
        <f>IF([1]Blank42!I344=0,FIXED(0,0,0),[1]Blank42!I344)</f>
        <v>0</v>
      </c>
      <c r="J14" s="50" t="str">
        <f>IF([1]Blank42!J344=0,FIXED(0,0,0),[1]Blank42!J344)</f>
        <v>0</v>
      </c>
      <c r="K14" s="257"/>
      <c r="L14" s="257"/>
      <c r="M14" s="257"/>
      <c r="N14" s="257"/>
    </row>
    <row r="15" spans="1:14" ht="13.5" customHeight="1" x14ac:dyDescent="0.45">
      <c r="A15" s="20"/>
      <c r="B15" s="20"/>
      <c r="C15" s="72" t="str">
        <f>[1]Blank42!C345</f>
        <v>Net Income</v>
      </c>
      <c r="D15" s="257"/>
      <c r="E15" s="257"/>
      <c r="F15" s="291" t="str">
        <f>IF([1]Blank42!F345=0,FIXED(0,0,0),[1]Blank42!F345)</f>
        <v>0</v>
      </c>
      <c r="G15" s="291" t="str">
        <f>IF([1]Blank42!G345=0,FIXED(0,0,0),[1]Blank42!G345)</f>
        <v>0</v>
      </c>
      <c r="H15" s="291" t="str">
        <f>IF([1]Blank42!H345=0,FIXED(0,0,0),[1]Blank42!H345)</f>
        <v>0</v>
      </c>
      <c r="I15" s="291" t="str">
        <f>IF([1]Blank42!I345=0,FIXED(0,0,0),[1]Blank42!I345)</f>
        <v>0</v>
      </c>
      <c r="J15" s="291" t="str">
        <f>IF([1]Blank42!J345=0,FIXED(0,0,0),[1]Blank42!J345)</f>
        <v>0</v>
      </c>
      <c r="K15" s="257"/>
      <c r="L15" s="257"/>
      <c r="M15" s="257"/>
      <c r="N15" s="257"/>
    </row>
    <row r="16" spans="1:14" ht="6" customHeight="1" x14ac:dyDescent="0.35">
      <c r="A16" s="20"/>
      <c r="B16" s="20"/>
      <c r="C16" s="20"/>
      <c r="D16" s="257"/>
      <c r="E16" s="257"/>
      <c r="F16" s="257"/>
      <c r="G16" s="257"/>
      <c r="H16" s="257"/>
      <c r="I16" s="257"/>
      <c r="J16" s="257"/>
      <c r="K16" s="257"/>
      <c r="L16" s="257"/>
      <c r="M16" s="257"/>
      <c r="N16" s="257"/>
    </row>
    <row r="17" spans="1:14" ht="12" customHeight="1" x14ac:dyDescent="0.4">
      <c r="A17" s="139"/>
      <c r="B17" s="139"/>
      <c r="C17" s="140" t="str">
        <f>[1]Blank42!C347</f>
        <v>RE Cash Flow</v>
      </c>
      <c r="D17" s="339"/>
      <c r="E17" s="339"/>
      <c r="F17" s="140" t="str">
        <f>[1]Blank42!F347</f>
        <v>Year1</v>
      </c>
      <c r="G17" s="140" t="str">
        <f>[1]Blank42!G347</f>
        <v>Year2</v>
      </c>
      <c r="H17" s="140" t="str">
        <f>[1]Blank42!H347</f>
        <v>Year3</v>
      </c>
      <c r="I17" s="140" t="str">
        <f>[1]Blank42!I347</f>
        <v>Year4</v>
      </c>
      <c r="J17" s="140" t="str">
        <f>[1]Blank42!J347</f>
        <v>Year5</v>
      </c>
      <c r="K17" s="139"/>
      <c r="L17" s="139"/>
      <c r="M17" s="139"/>
      <c r="N17" s="139"/>
    </row>
    <row r="18" spans="1:14" ht="6" customHeight="1" x14ac:dyDescent="0.4">
      <c r="A18" s="20"/>
      <c r="B18" s="20"/>
      <c r="C18" s="300"/>
      <c r="D18" s="257"/>
      <c r="E18" s="257"/>
      <c r="F18" s="285"/>
      <c r="G18" s="285"/>
      <c r="H18" s="285"/>
      <c r="I18" s="285"/>
      <c r="J18" s="285"/>
      <c r="K18" s="257"/>
      <c r="L18" s="257"/>
      <c r="M18" s="257"/>
      <c r="N18" s="257"/>
    </row>
    <row r="19" spans="1:14" ht="12" customHeight="1" x14ac:dyDescent="0.35">
      <c r="A19" s="20"/>
      <c r="B19" s="20"/>
      <c r="C19" s="72" t="str">
        <f>[1]Blank42!C349</f>
        <v>Net Income</v>
      </c>
      <c r="D19" s="257"/>
      <c r="E19" s="257"/>
      <c r="F19" s="45" t="str">
        <f>IF([1]Blank42!F349=0,FIXED(0,0,0),[1]Blank42!F349)</f>
        <v>0</v>
      </c>
      <c r="G19" s="45" t="str">
        <f>IF([1]Blank42!G349=0,FIXED(0,0,0),[1]Blank42!G349)</f>
        <v>0</v>
      </c>
      <c r="H19" s="45" t="str">
        <f>IF([1]Blank42!H349=0,FIXED(0,0,0),[1]Blank42!H349)</f>
        <v>0</v>
      </c>
      <c r="I19" s="45" t="str">
        <f>IF([1]Blank42!I349=0,FIXED(0,0,0),[1]Blank42!I349)</f>
        <v>0</v>
      </c>
      <c r="J19" s="45" t="str">
        <f>IF([1]Blank42!J349=0,FIXED(0,0,0),[1]Blank42!J349)</f>
        <v>0</v>
      </c>
      <c r="K19" s="257"/>
      <c r="L19" s="257"/>
      <c r="M19" s="257"/>
      <c r="N19" s="257"/>
    </row>
    <row r="20" spans="1:14" ht="12" customHeight="1" x14ac:dyDescent="0.35">
      <c r="A20" s="20"/>
      <c r="B20" s="20"/>
      <c r="C20" s="72" t="str">
        <f>[1]Blank42!C350</f>
        <v>Depreciation</v>
      </c>
      <c r="D20" s="257"/>
      <c r="E20" s="257"/>
      <c r="F20" s="45" t="str">
        <f>IF([1]Blank42!F350=0,FIXED(0,0,0),[1]Blank42!F350)</f>
        <v>0</v>
      </c>
      <c r="G20" s="45" t="str">
        <f>IF([1]Blank42!G350=0,FIXED(0,0,0),[1]Blank42!G350)</f>
        <v>0</v>
      </c>
      <c r="H20" s="45" t="str">
        <f>IF([1]Blank42!H350=0,FIXED(0,0,0),[1]Blank42!H350)</f>
        <v>0</v>
      </c>
      <c r="I20" s="45" t="str">
        <f>IF([1]Blank42!I350=0,FIXED(0,0,0),[1]Blank42!I350)</f>
        <v>0</v>
      </c>
      <c r="J20" s="45" t="str">
        <f>IF([1]Blank42!J350=0,FIXED(0,0,0),[1]Blank42!J350)</f>
        <v>0</v>
      </c>
      <c r="K20" s="257"/>
      <c r="L20" s="257"/>
      <c r="M20" s="257"/>
      <c r="N20" s="257"/>
    </row>
    <row r="21" spans="1:14" ht="12" customHeight="1" x14ac:dyDescent="0.35">
      <c r="A21" s="20"/>
      <c r="B21" s="20"/>
      <c r="C21" s="72" t="str">
        <f>[1]Blank42!C351</f>
        <v>RE Loan Payment</v>
      </c>
      <c r="D21" s="257"/>
      <c r="E21" s="257"/>
      <c r="F21" s="45" t="str">
        <f>IF([1]Blank42!F351=0,FIXED(0,0,0),[1]Blank42!F351)</f>
        <v>0</v>
      </c>
      <c r="G21" s="45" t="str">
        <f>IF([1]Blank42!G351=0,FIXED(0,0,0),[1]Blank42!G351)</f>
        <v>0</v>
      </c>
      <c r="H21" s="45" t="str">
        <f>IF([1]Blank42!H351=0,FIXED(0,0,0),[1]Blank42!H351)</f>
        <v>0</v>
      </c>
      <c r="I21" s="45" t="str">
        <f>IF([1]Blank42!I351=0,FIXED(0,0,0),[1]Blank42!I351)</f>
        <v>0</v>
      </c>
      <c r="J21" s="45" t="str">
        <f>IF([1]Blank42!J351=0,FIXED(0,0,0),[1]Blank42!J351)</f>
        <v>0</v>
      </c>
      <c r="K21" s="257"/>
      <c r="L21" s="257"/>
      <c r="M21" s="257"/>
      <c r="N21" s="257"/>
    </row>
    <row r="22" spans="1:14" ht="13.5" customHeight="1" x14ac:dyDescent="0.6">
      <c r="A22" s="20"/>
      <c r="B22" s="20"/>
      <c r="C22" s="262" t="str">
        <f>[1]Blank42!C352</f>
        <v>Dist. for S Shareholder Taxes</v>
      </c>
      <c r="D22" s="257"/>
      <c r="E22" s="257"/>
      <c r="F22" s="50" t="str">
        <f>IF([1]Blank42!F352=0,FIXED(0,0,0),[1]Blank42!F352)</f>
        <v>0</v>
      </c>
      <c r="G22" s="50" t="str">
        <f>IF([1]Blank42!G352=0,FIXED(0,0,0),[1]Blank42!G352)</f>
        <v>0</v>
      </c>
      <c r="H22" s="50" t="str">
        <f>IF([1]Blank42!H352=0,FIXED(0,0,0),[1]Blank42!H352)</f>
        <v>0</v>
      </c>
      <c r="I22" s="50" t="str">
        <f>IF([1]Blank42!I352=0,FIXED(0,0,0),[1]Blank42!I352)</f>
        <v>0</v>
      </c>
      <c r="J22" s="50" t="str">
        <f>IF([1]Blank42!J352=0,FIXED(0,0,0),[1]Blank42!J352)</f>
        <v>0</v>
      </c>
      <c r="K22" s="257"/>
      <c r="L22" s="257"/>
      <c r="M22" s="257"/>
      <c r="N22" s="257"/>
    </row>
    <row r="23" spans="1:14" ht="12" customHeight="1" x14ac:dyDescent="0.35">
      <c r="A23" s="20"/>
      <c r="B23" s="20"/>
      <c r="C23" s="72" t="str">
        <f>[1]Blank42!C353</f>
        <v>Operating Cash Flow-Real Estate</v>
      </c>
      <c r="D23" s="257"/>
      <c r="E23" s="257"/>
      <c r="F23" s="45" t="str">
        <f>IF([1]Blank42!F353=0,FIXED(0,0,0),[1]Blank42!F353)</f>
        <v>0</v>
      </c>
      <c r="G23" s="45" t="str">
        <f>IF([1]Blank42!G353=0,FIXED(0,0,0),[1]Blank42!G353)</f>
        <v>0</v>
      </c>
      <c r="H23" s="45" t="str">
        <f>IF([1]Blank42!H353=0,FIXED(0,0,0),[1]Blank42!H353)</f>
        <v>0</v>
      </c>
      <c r="I23" s="45" t="str">
        <f>IF([1]Blank42!I353=0,FIXED(0,0,0),[1]Blank42!I353)</f>
        <v>0</v>
      </c>
      <c r="J23" s="45" t="str">
        <f>IF([1]Blank42!J353=0,FIXED(0,0,0),[1]Blank42!J353)</f>
        <v>0</v>
      </c>
      <c r="K23" s="257"/>
      <c r="L23" s="257"/>
      <c r="M23" s="257"/>
      <c r="N23" s="257"/>
    </row>
    <row r="24" spans="1:14" ht="13.5" customHeight="1" x14ac:dyDescent="0.6">
      <c r="A24" s="20"/>
      <c r="B24" s="20"/>
      <c r="C24" s="72" t="str">
        <f>[1]Blank42!C354</f>
        <v>Cash (To)/From Business Entity</v>
      </c>
      <c r="D24" s="257"/>
      <c r="E24" s="257"/>
      <c r="F24" s="50" t="str">
        <f>IF([1]Blank42!F354=0,FIXED(0,0,0),[1]Blank42!F354)</f>
        <v>0</v>
      </c>
      <c r="G24" s="50" t="str">
        <f>IF([1]Blank42!G354=0,FIXED(0,0,0),[1]Blank42!G354)</f>
        <v>0</v>
      </c>
      <c r="H24" s="50" t="str">
        <f>IF([1]Blank42!H354=0,FIXED(0,0,0),[1]Blank42!H354)</f>
        <v>0</v>
      </c>
      <c r="I24" s="50" t="str">
        <f>IF([1]Blank42!I354=0,FIXED(0,0,0),[1]Blank42!I354)</f>
        <v>0</v>
      </c>
      <c r="J24" s="50" t="str">
        <f>IF([1]Blank42!J354=0,FIXED(0,0,0),[1]Blank42!J354)</f>
        <v>0</v>
      </c>
      <c r="K24" s="257"/>
      <c r="L24" s="257"/>
      <c r="M24" s="257"/>
      <c r="N24" s="257"/>
    </row>
    <row r="25" spans="1:14" ht="13.5" customHeight="1" x14ac:dyDescent="0.45">
      <c r="A25" s="20"/>
      <c r="B25" s="20"/>
      <c r="C25" s="72" t="str">
        <f>[1]Blank42!C355</f>
        <v>Net Cash Flow of RE</v>
      </c>
      <c r="D25" s="257"/>
      <c r="E25" s="257"/>
      <c r="F25" s="291" t="str">
        <f>IF([1]Blank42!F355=0,FIXED(0,0,0),[1]Blank42!F355)</f>
        <v>0</v>
      </c>
      <c r="G25" s="291" t="str">
        <f>IF([1]Blank42!G355=0,FIXED(0,0,0),[1]Blank42!G355)</f>
        <v>0</v>
      </c>
      <c r="H25" s="291" t="str">
        <f>IF([1]Blank42!H355=0,FIXED(0,0,0),[1]Blank42!H355)</f>
        <v>0</v>
      </c>
      <c r="I25" s="291" t="str">
        <f>IF([1]Blank42!I355=0,FIXED(0,0,0),[1]Blank42!I355)</f>
        <v>0</v>
      </c>
      <c r="J25" s="291" t="str">
        <f>IF([1]Blank42!J355=0,FIXED(0,0,0),[1]Blank42!J355)</f>
        <v>0</v>
      </c>
      <c r="K25" s="257"/>
      <c r="L25" s="257"/>
      <c r="M25" s="257"/>
      <c r="N25" s="257"/>
    </row>
    <row r="26" spans="1:14" ht="6" customHeight="1" x14ac:dyDescent="0.35">
      <c r="A26" s="20"/>
      <c r="B26" s="20"/>
      <c r="C26" s="20"/>
      <c r="D26" s="257"/>
      <c r="E26" s="257"/>
      <c r="F26" s="257"/>
      <c r="G26" s="257"/>
      <c r="H26" s="257"/>
      <c r="I26" s="257"/>
      <c r="J26" s="257"/>
      <c r="K26" s="257"/>
      <c r="L26" s="257"/>
      <c r="M26" s="257"/>
      <c r="N26" s="257"/>
    </row>
    <row r="27" spans="1:14" ht="12" customHeight="1" x14ac:dyDescent="0.4">
      <c r="A27" s="139"/>
      <c r="B27" s="139"/>
      <c r="C27" s="140" t="str">
        <f>[1]Blank42!C357</f>
        <v>RE Balance Sheet</v>
      </c>
      <c r="D27" s="340"/>
      <c r="E27" s="140" t="str">
        <f>[1]Blank42!E357</f>
        <v>Opening</v>
      </c>
      <c r="F27" s="140" t="str">
        <f>[1]Blank42!F357</f>
        <v>Year1</v>
      </c>
      <c r="G27" s="140" t="str">
        <f>[1]Blank42!G357</f>
        <v>Year2</v>
      </c>
      <c r="H27" s="140" t="str">
        <f>[1]Blank42!H357</f>
        <v>Year3</v>
      </c>
      <c r="I27" s="140" t="str">
        <f>[1]Blank42!I357</f>
        <v>Year4</v>
      </c>
      <c r="J27" s="140" t="str">
        <f>[1]Blank42!J357</f>
        <v>Year5</v>
      </c>
      <c r="K27" s="139"/>
      <c r="L27" s="139"/>
      <c r="M27" s="139"/>
      <c r="N27" s="139"/>
    </row>
    <row r="28" spans="1:14" ht="6" customHeight="1" x14ac:dyDescent="0.4">
      <c r="A28" s="20"/>
      <c r="B28" s="285"/>
      <c r="C28" s="300"/>
      <c r="D28" s="285"/>
      <c r="E28" s="285"/>
      <c r="F28" s="285"/>
      <c r="G28" s="285"/>
      <c r="H28" s="285"/>
      <c r="I28" s="285"/>
      <c r="J28" s="285"/>
      <c r="K28" s="257"/>
      <c r="L28" s="257"/>
      <c r="M28" s="257"/>
      <c r="N28" s="257"/>
    </row>
    <row r="29" spans="1:14" ht="12" customHeight="1" x14ac:dyDescent="0.35">
      <c r="A29" s="20"/>
      <c r="B29" s="65" t="str">
        <f>[1]Blank42!B359</f>
        <v>Assets</v>
      </c>
      <c r="C29" s="72" t="str">
        <f>[1]Blank42!C359</f>
        <v>Cash</v>
      </c>
      <c r="D29" s="285"/>
      <c r="E29" s="45" t="str">
        <f>IF([1]Blank42!E359=0,FIXED(0,0,0),[1]Blank42!E359)</f>
        <v>0</v>
      </c>
      <c r="F29" s="45" t="str">
        <f>IF([1]Blank42!F359=0,FIXED(0,0,0),[1]Blank42!F359)</f>
        <v>0</v>
      </c>
      <c r="G29" s="45" t="str">
        <f>IF([1]Blank42!G359=0,FIXED(0,0,0),[1]Blank42!G359)</f>
        <v>0</v>
      </c>
      <c r="H29" s="45" t="str">
        <f>IF([1]Blank42!H359=0,FIXED(0,0,0),[1]Blank42!H359)</f>
        <v>0</v>
      </c>
      <c r="I29" s="45" t="str">
        <f>IF([1]Blank42!I359=0,FIXED(0,0,0),[1]Blank42!I359)</f>
        <v>0</v>
      </c>
      <c r="J29" s="45" t="str">
        <f>IF([1]Blank42!J359=0,FIXED(0,0,0),[1]Blank42!J359)</f>
        <v>0</v>
      </c>
      <c r="K29" s="257"/>
      <c r="L29" s="257"/>
      <c r="M29" s="257"/>
      <c r="N29" s="257"/>
    </row>
    <row r="30" spans="1:14" ht="12" customHeight="1" x14ac:dyDescent="0.35">
      <c r="A30" s="20"/>
      <c r="B30" s="110"/>
      <c r="C30" s="72" t="str">
        <f>[1]Blank42!C360</f>
        <v>Land</v>
      </c>
      <c r="D30" s="56"/>
      <c r="E30" s="45" t="str">
        <f>IF([1]Blank42!E360=0,FIXED(0,0,0),[1]Blank42!E360)</f>
        <v>0</v>
      </c>
      <c r="F30" s="45" t="str">
        <f>IF([1]Blank42!F360=0,FIXED(0,0,0),[1]Blank42!F360)</f>
        <v>0</v>
      </c>
      <c r="G30" s="45" t="str">
        <f>IF([1]Blank42!G360=0,FIXED(0,0,0),[1]Blank42!G360)</f>
        <v>0</v>
      </c>
      <c r="H30" s="45" t="str">
        <f>IF([1]Blank42!H360=0,FIXED(0,0,0),[1]Blank42!H360)</f>
        <v>0</v>
      </c>
      <c r="I30" s="45" t="str">
        <f>IF([1]Blank42!I360=0,FIXED(0,0,0),[1]Blank42!I360)</f>
        <v>0</v>
      </c>
      <c r="J30" s="45" t="str">
        <f>IF([1]Blank42!J360=0,FIXED(0,0,0),[1]Blank42!J360)</f>
        <v>0</v>
      </c>
      <c r="K30" s="257"/>
      <c r="L30" s="257"/>
      <c r="M30" s="257"/>
      <c r="N30" s="257"/>
    </row>
    <row r="31" spans="1:14" ht="12" customHeight="1" x14ac:dyDescent="0.35">
      <c r="A31" s="276"/>
      <c r="B31" s="110"/>
      <c r="C31" s="72" t="str">
        <f>[1]Blank42!C361</f>
        <v>Building</v>
      </c>
      <c r="D31" s="257"/>
      <c r="E31" s="45" t="str">
        <f>IF([1]Blank42!E361=0,FIXED(0,0,0),[1]Blank42!E361)</f>
        <v>0</v>
      </c>
      <c r="F31" s="45" t="str">
        <f>IF([1]Blank42!F361=0,FIXED(0,0,0),[1]Blank42!F361)</f>
        <v>0</v>
      </c>
      <c r="G31" s="45" t="str">
        <f>IF([1]Blank42!G361=0,FIXED(0,0,0),[1]Blank42!G361)</f>
        <v>0</v>
      </c>
      <c r="H31" s="45" t="str">
        <f>IF([1]Blank42!H361=0,FIXED(0,0,0),[1]Blank42!H361)</f>
        <v>0</v>
      </c>
      <c r="I31" s="45" t="str">
        <f>IF([1]Blank42!I361=0,FIXED(0,0,0),[1]Blank42!I361)</f>
        <v>0</v>
      </c>
      <c r="J31" s="45" t="str">
        <f>IF([1]Blank42!J361=0,FIXED(0,0,0),[1]Blank42!J361)</f>
        <v>0</v>
      </c>
      <c r="K31" s="257"/>
      <c r="L31" s="257"/>
      <c r="M31" s="257"/>
      <c r="N31" s="257"/>
    </row>
    <row r="32" spans="1:14" ht="12" customHeight="1" x14ac:dyDescent="0.35">
      <c r="A32" s="276"/>
      <c r="B32" s="110"/>
      <c r="C32" s="72" t="str">
        <f>[1]Blank42!C362</f>
        <v>A/D-Building</v>
      </c>
      <c r="D32" s="257"/>
      <c r="E32" s="45" t="str">
        <f>IF([1]Blank42!E362=0,FIXED(0,0,0),[1]Blank42!E362)</f>
        <v>0</v>
      </c>
      <c r="F32" s="45" t="str">
        <f>IF([1]Blank42!F362=0,FIXED(0,0,0),[1]Blank42!F362)</f>
        <v>0</v>
      </c>
      <c r="G32" s="45" t="str">
        <f>IF([1]Blank42!G362=0,FIXED(0,0,0),[1]Blank42!G362)</f>
        <v>0</v>
      </c>
      <c r="H32" s="45" t="str">
        <f>IF([1]Blank42!H362=0,FIXED(0,0,0),[1]Blank42!H362)</f>
        <v>0</v>
      </c>
      <c r="I32" s="45" t="str">
        <f>IF([1]Blank42!I362=0,FIXED(0,0,0),[1]Blank42!I362)</f>
        <v>0</v>
      </c>
      <c r="J32" s="45" t="str">
        <f>IF([1]Blank42!J362=0,FIXED(0,0,0),[1]Blank42!J362)</f>
        <v>0</v>
      </c>
      <c r="K32" s="257"/>
      <c r="L32" s="257"/>
      <c r="M32" s="257"/>
      <c r="N32" s="257"/>
    </row>
    <row r="33" spans="1:14" ht="13.5" customHeight="1" x14ac:dyDescent="0.6">
      <c r="A33" s="20"/>
      <c r="B33" s="110"/>
      <c r="C33" s="72" t="str">
        <f>[1]Blank42!C363</f>
        <v>RE Goodwill</v>
      </c>
      <c r="D33" s="257"/>
      <c r="E33" s="50" t="str">
        <f>IF([1]Blank42!E363=0,FIXED(0,0,0),[1]Blank42!E363)</f>
        <v>0</v>
      </c>
      <c r="F33" s="50" t="str">
        <f>IF([1]Blank42!F363=0,FIXED(0,0,0),[1]Blank42!F363)</f>
        <v>0</v>
      </c>
      <c r="G33" s="50" t="str">
        <f>IF([1]Blank42!G363=0,FIXED(0,0,0),[1]Blank42!G363)</f>
        <v>0</v>
      </c>
      <c r="H33" s="50" t="str">
        <f>IF([1]Blank42!H363=0,FIXED(0,0,0),[1]Blank42!H363)</f>
        <v>0</v>
      </c>
      <c r="I33" s="50" t="str">
        <f>IF([1]Blank42!I363=0,FIXED(0,0,0),[1]Blank42!I363)</f>
        <v>0</v>
      </c>
      <c r="J33" s="50" t="str">
        <f>IF([1]Blank42!J363=0,FIXED(0,0,0),[1]Blank42!J363)</f>
        <v>0</v>
      </c>
      <c r="K33" s="257"/>
      <c r="L33" s="257"/>
      <c r="M33" s="257"/>
      <c r="N33" s="257"/>
    </row>
    <row r="34" spans="1:14" ht="13.5" customHeight="1" x14ac:dyDescent="0.45">
      <c r="A34" s="20"/>
      <c r="B34" s="65"/>
      <c r="C34" s="72" t="str">
        <f>[1]Blank42!C364</f>
        <v>Total Assets</v>
      </c>
      <c r="D34" s="257"/>
      <c r="E34" s="291" t="str">
        <f>IF([1]Blank42!E364=0,FIXED(0,0,0),[1]Blank42!E364)</f>
        <v>0</v>
      </c>
      <c r="F34" s="291" t="str">
        <f>IF([1]Blank42!F364=0,FIXED(0,0,0),[1]Blank42!F364)</f>
        <v>0</v>
      </c>
      <c r="G34" s="291" t="str">
        <f>IF([1]Blank42!G364=0,FIXED(0,0,0),[1]Blank42!G364)</f>
        <v>0</v>
      </c>
      <c r="H34" s="291" t="str">
        <f>IF([1]Blank42!H364=0,FIXED(0,0,0),[1]Blank42!H364)</f>
        <v>0</v>
      </c>
      <c r="I34" s="291" t="str">
        <f>IF([1]Blank42!I364=0,FIXED(0,0,0),[1]Blank42!I364)</f>
        <v>0</v>
      </c>
      <c r="J34" s="291" t="str">
        <f>IF([1]Blank42!J364=0,FIXED(0,0,0),[1]Blank42!J364)</f>
        <v>0</v>
      </c>
      <c r="K34" s="257"/>
      <c r="L34" s="257"/>
      <c r="M34" s="257"/>
      <c r="N34" s="257"/>
    </row>
    <row r="35" spans="1:14" ht="6" customHeight="1" x14ac:dyDescent="0.35">
      <c r="A35" s="20"/>
      <c r="B35" s="110"/>
      <c r="C35" s="72"/>
      <c r="D35" s="257"/>
      <c r="E35" s="341"/>
      <c r="F35" s="341"/>
      <c r="G35" s="341"/>
      <c r="H35" s="341"/>
      <c r="I35" s="341"/>
      <c r="J35" s="341"/>
      <c r="K35" s="257"/>
      <c r="L35" s="257"/>
      <c r="M35" s="257"/>
      <c r="N35" s="257"/>
    </row>
    <row r="36" spans="1:14" ht="12" customHeight="1" x14ac:dyDescent="0.35">
      <c r="A36" s="20"/>
      <c r="B36" s="65" t="str">
        <f>[1]Blank42!B366</f>
        <v>Liabilities &amp; Equity</v>
      </c>
      <c r="C36" s="72" t="str">
        <f>[1]Blank42!C366</f>
        <v>RE Loan</v>
      </c>
      <c r="D36" s="257"/>
      <c r="E36" s="45" t="str">
        <f>IF([1]Blank42!E366=0,FIXED(0,0,0),[1]Blank42!E366)</f>
        <v>0</v>
      </c>
      <c r="F36" s="45" t="str">
        <f>IF([1]Blank42!F366=0,FIXED(0,0,0),[1]Blank42!F366)</f>
        <v>0</v>
      </c>
      <c r="G36" s="45" t="str">
        <f>IF([1]Blank42!G366=0,FIXED(0,0,0),[1]Blank42!G366)</f>
        <v>0</v>
      </c>
      <c r="H36" s="45" t="str">
        <f>IF([1]Blank42!H366=0,FIXED(0,0,0),[1]Blank42!H366)</f>
        <v>0</v>
      </c>
      <c r="I36" s="45" t="str">
        <f>IF([1]Blank42!I366=0,FIXED(0,0,0),[1]Blank42!I366)</f>
        <v>0</v>
      </c>
      <c r="J36" s="45" t="str">
        <f>IF([1]Blank42!J366=0,FIXED(0,0,0),[1]Blank42!J366)</f>
        <v>0</v>
      </c>
      <c r="K36" s="257"/>
      <c r="L36" s="257"/>
      <c r="M36" s="257"/>
      <c r="N36" s="257"/>
    </row>
    <row r="37" spans="1:14" ht="6" customHeight="1" x14ac:dyDescent="0.35">
      <c r="A37" s="276"/>
      <c r="B37" s="110"/>
      <c r="C37" s="72"/>
      <c r="D37" s="257"/>
      <c r="E37" s="341"/>
      <c r="F37" s="341"/>
      <c r="G37" s="341"/>
      <c r="H37" s="341"/>
      <c r="I37" s="341"/>
      <c r="J37" s="341"/>
      <c r="K37" s="257"/>
      <c r="L37" s="257"/>
      <c r="M37" s="257"/>
      <c r="N37" s="257"/>
    </row>
    <row r="38" spans="1:14" ht="12" customHeight="1" x14ac:dyDescent="0.35">
      <c r="A38" s="276"/>
      <c r="B38" s="110"/>
      <c r="C38" s="72" t="str">
        <f>[1]Blank42!C368</f>
        <v>Retained Earnings</v>
      </c>
      <c r="D38" s="257"/>
      <c r="E38" s="45" t="str">
        <f>IF([1]Blank42!E368=0,FIXED(0,0,0),[1]Blank42!E368)</f>
        <v>0</v>
      </c>
      <c r="F38" s="45" t="str">
        <f>IF([1]Blank42!F368=0,FIXED(0,0,0),[1]Blank42!F368)</f>
        <v>0</v>
      </c>
      <c r="G38" s="45" t="str">
        <f>IF([1]Blank42!G368=0,FIXED(0,0,0),[1]Blank42!G368)</f>
        <v>0</v>
      </c>
      <c r="H38" s="45" t="str">
        <f>IF([1]Blank42!H368=0,FIXED(0,0,0),[1]Blank42!H368)</f>
        <v>0</v>
      </c>
      <c r="I38" s="45" t="str">
        <f>IF([1]Blank42!I368=0,FIXED(0,0,0),[1]Blank42!I368)</f>
        <v>0</v>
      </c>
      <c r="J38" s="45" t="str">
        <f>IF([1]Blank42!J368=0,FIXED(0,0,0),[1]Blank42!J368)</f>
        <v>0</v>
      </c>
      <c r="K38" s="257"/>
      <c r="L38" s="257"/>
      <c r="M38" s="257"/>
      <c r="N38" s="257"/>
    </row>
    <row r="39" spans="1:14" ht="12" customHeight="1" x14ac:dyDescent="0.35">
      <c r="A39" s="20"/>
      <c r="B39" s="110"/>
      <c r="C39" s="72" t="str">
        <f>[1]Blank42!C369</f>
        <v>Cash To (-), from (+) Bus. Entity</v>
      </c>
      <c r="D39" s="257"/>
      <c r="E39" s="45" t="str">
        <f>IF([1]Blank42!E369=0,FIXED(0,0,0),[1]Blank42!E369)</f>
        <v>0</v>
      </c>
      <c r="F39" s="45" t="str">
        <f>IF([1]Blank42!F369=0,FIXED(0,0,0),[1]Blank42!F369)</f>
        <v>0</v>
      </c>
      <c r="G39" s="45" t="str">
        <f>IF([1]Blank42!G369=0,FIXED(0,0,0),[1]Blank42!G369)</f>
        <v>0</v>
      </c>
      <c r="H39" s="45" t="str">
        <f>IF([1]Blank42!H369=0,FIXED(0,0,0),[1]Blank42!H369)</f>
        <v>0</v>
      </c>
      <c r="I39" s="45" t="str">
        <f>IF([1]Blank42!I369=0,FIXED(0,0,0),[1]Blank42!I369)</f>
        <v>0</v>
      </c>
      <c r="J39" s="45" t="str">
        <f>IF([1]Blank42!J369=0,FIXED(0,0,0),[1]Blank42!J369)</f>
        <v>0</v>
      </c>
      <c r="K39" s="257"/>
      <c r="L39" s="257"/>
      <c r="M39" s="257"/>
      <c r="N39" s="257"/>
    </row>
    <row r="40" spans="1:14" ht="12" customHeight="1" x14ac:dyDescent="0.35">
      <c r="A40" s="20"/>
      <c r="B40" s="110"/>
      <c r="C40" s="72" t="str">
        <f>[1]Blank42!C370</f>
        <v>Distribution for Taxes</v>
      </c>
      <c r="D40" s="257"/>
      <c r="E40" s="45" t="str">
        <f>IF([1]Blank42!E370=0,FIXED(0,0,0),[1]Blank42!E370)</f>
        <v>0</v>
      </c>
      <c r="F40" s="45" t="str">
        <f>IF([1]Blank42!F370=0,FIXED(0,0,0),[1]Blank42!F370)</f>
        <v>0</v>
      </c>
      <c r="G40" s="45" t="str">
        <f>IF([1]Blank42!G370=0,FIXED(0,0,0),[1]Blank42!G370)</f>
        <v>0</v>
      </c>
      <c r="H40" s="45" t="str">
        <f>IF([1]Blank42!H370=0,FIXED(0,0,0),[1]Blank42!H370)</f>
        <v>0</v>
      </c>
      <c r="I40" s="45" t="str">
        <f>IF([1]Blank42!I370=0,FIXED(0,0,0),[1]Blank42!I370)</f>
        <v>0</v>
      </c>
      <c r="J40" s="45" t="str">
        <f>IF([1]Blank42!J370=0,FIXED(0,0,0),[1]Blank42!J370)</f>
        <v>0</v>
      </c>
      <c r="K40" s="257"/>
      <c r="L40" s="257"/>
      <c r="M40" s="257"/>
      <c r="N40" s="257"/>
    </row>
    <row r="41" spans="1:14" ht="12.75" customHeight="1" x14ac:dyDescent="0.6">
      <c r="A41" s="20"/>
      <c r="B41" s="110"/>
      <c r="C41" s="72" t="str">
        <f>[1]Blank42!C371</f>
        <v>Common</v>
      </c>
      <c r="D41" s="257"/>
      <c r="E41" s="50" t="str">
        <f>IF([1]Blank42!E371=0,FIXED(0,0,0),[1]Blank42!E371)</f>
        <v>0</v>
      </c>
      <c r="F41" s="50" t="str">
        <f>IF([1]Blank42!F371=0,FIXED(0,0,0),[1]Blank42!F371)</f>
        <v>0</v>
      </c>
      <c r="G41" s="50" t="str">
        <f>IF([1]Blank42!G371=0,FIXED(0,0,0),[1]Blank42!G371)</f>
        <v>0</v>
      </c>
      <c r="H41" s="50" t="str">
        <f>IF([1]Blank42!H371=0,FIXED(0,0,0),[1]Blank42!H371)</f>
        <v>0</v>
      </c>
      <c r="I41" s="50" t="str">
        <f>IF([1]Blank42!I371=0,FIXED(0,0,0),[1]Blank42!I371)</f>
        <v>0</v>
      </c>
      <c r="J41" s="50" t="str">
        <f>IF([1]Blank42!J371=0,FIXED(0,0,0),[1]Blank42!J371)</f>
        <v>0</v>
      </c>
      <c r="K41" s="257"/>
      <c r="L41" s="257"/>
      <c r="M41" s="257"/>
      <c r="N41" s="257"/>
    </row>
    <row r="42" spans="1:14" ht="13.5" customHeight="1" x14ac:dyDescent="0.6">
      <c r="A42" s="20"/>
      <c r="B42" s="110"/>
      <c r="C42" s="72" t="str">
        <f>[1]Blank42!C372</f>
        <v>Equity</v>
      </c>
      <c r="D42" s="257"/>
      <c r="E42" s="50" t="str">
        <f>IF([1]Blank42!E372=0,FIXED(0,0,0),[1]Blank42!E372)</f>
        <v>0</v>
      </c>
      <c r="F42" s="50" t="str">
        <f>IF([1]Blank42!F372=0,FIXED(0,0,0),[1]Blank42!F372)</f>
        <v>0</v>
      </c>
      <c r="G42" s="50" t="str">
        <f>IF([1]Blank42!G372=0,FIXED(0,0,0),[1]Blank42!G372)</f>
        <v>0</v>
      </c>
      <c r="H42" s="50" t="str">
        <f>IF([1]Blank42!H372=0,FIXED(0,0,0),[1]Blank42!H372)</f>
        <v>0</v>
      </c>
      <c r="I42" s="50" t="str">
        <f>IF([1]Blank42!I372=0,FIXED(0,0,0),[1]Blank42!I372)</f>
        <v>0</v>
      </c>
      <c r="J42" s="50" t="str">
        <f>IF([1]Blank42!J372=0,FIXED(0,0,0),[1]Blank42!J372)</f>
        <v>0</v>
      </c>
      <c r="K42" s="257"/>
      <c r="L42" s="257"/>
      <c r="M42" s="257"/>
      <c r="N42" s="257"/>
    </row>
    <row r="43" spans="1:14" ht="6" customHeight="1" x14ac:dyDescent="0.35">
      <c r="A43" s="20"/>
      <c r="B43" s="110"/>
      <c r="C43" s="72"/>
      <c r="D43" s="20"/>
      <c r="E43" s="341"/>
      <c r="F43" s="341"/>
      <c r="G43" s="341"/>
      <c r="H43" s="341"/>
      <c r="I43" s="341"/>
      <c r="J43" s="341"/>
      <c r="K43" s="20"/>
      <c r="L43" s="20"/>
      <c r="M43" s="20"/>
      <c r="N43" s="20"/>
    </row>
    <row r="44" spans="1:14" ht="15" customHeight="1" x14ac:dyDescent="0.45">
      <c r="A44" s="20"/>
      <c r="B44" s="110"/>
      <c r="C44" s="72" t="str">
        <f>[1]Blank42!C374</f>
        <v>Total Liab &amp; Equity</v>
      </c>
      <c r="D44" s="20"/>
      <c r="E44" s="291" t="str">
        <f>IF([1]Blank42!E374=0,FIXED(0,0,0),[1]Blank42!E374)</f>
        <v>0</v>
      </c>
      <c r="F44" s="291" t="str">
        <f>IF([1]Blank42!F374=0,FIXED(0,0,0),[1]Blank42!F374)</f>
        <v>0</v>
      </c>
      <c r="G44" s="291" t="str">
        <f>IF([1]Blank42!G374=0,FIXED(0,0,0),[1]Blank42!G374)</f>
        <v>0</v>
      </c>
      <c r="H44" s="291" t="str">
        <f>IF([1]Blank42!H374=0,FIXED(0,0,0),[1]Blank42!H374)</f>
        <v>0</v>
      </c>
      <c r="I44" s="291" t="str">
        <f>IF([1]Blank42!I374=0,FIXED(0,0,0),[1]Blank42!I374)</f>
        <v>0</v>
      </c>
      <c r="J44" s="291" t="str">
        <f>IF([1]Blank42!J374=0,FIXED(0,0,0),[1]Blank42!J374)</f>
        <v>0</v>
      </c>
      <c r="K44" s="269" t="str">
        <f ca="1">ROUND(A55,0)&amp;[1]Blank42!O11</f>
        <v>8164150</v>
      </c>
      <c r="L44" s="342" t="str">
        <f>[1]Blank42!$A$9</f>
        <v>BVX®</v>
      </c>
      <c r="M44" s="20"/>
      <c r="N44" s="20"/>
    </row>
    <row r="45" spans="1:14" ht="6" customHeight="1" x14ac:dyDescent="0.45">
      <c r="A45" s="20"/>
      <c r="B45" s="20"/>
      <c r="C45" s="56"/>
      <c r="D45" s="20"/>
      <c r="E45" s="291"/>
      <c r="F45" s="291"/>
      <c r="G45" s="291"/>
      <c r="H45" s="291"/>
      <c r="I45" s="291"/>
      <c r="J45" s="291"/>
      <c r="K45" s="269"/>
      <c r="L45" s="342"/>
      <c r="M45" s="20"/>
      <c r="N45" s="20"/>
    </row>
    <row r="46" spans="1:14" ht="13.15" x14ac:dyDescent="0.4">
      <c r="A46" s="139"/>
      <c r="B46" s="139"/>
      <c r="C46" s="140" t="str">
        <f>[1]Blank42!C375</f>
        <v>RE Pre-Tax ROI</v>
      </c>
      <c r="D46" s="151"/>
      <c r="E46" s="343" t="str">
        <f>[1]Blank42!E375</f>
        <v>Year0</v>
      </c>
      <c r="F46" s="343" t="str">
        <f>[1]Blank42!F375</f>
        <v>Year1</v>
      </c>
      <c r="G46" s="343" t="str">
        <f>[1]Blank42!G375</f>
        <v>Year2</v>
      </c>
      <c r="H46" s="343" t="str">
        <f>[1]Blank42!H375</f>
        <v>Year3</v>
      </c>
      <c r="I46" s="343" t="str">
        <f>[1]Blank42!I375</f>
        <v>Year4</v>
      </c>
      <c r="J46" s="343" t="str">
        <f>[1]Blank42!J375</f>
        <v>Year5</v>
      </c>
      <c r="K46" s="139"/>
      <c r="L46" s="139"/>
      <c r="M46" s="139"/>
      <c r="N46" s="139"/>
    </row>
    <row r="47" spans="1:14" x14ac:dyDescent="0.35">
      <c r="A47" s="20"/>
      <c r="B47" s="20"/>
      <c r="C47" s="72" t="str">
        <f>[1]Blank42!C376</f>
        <v>Orig. Equity &amp; Selling Price</v>
      </c>
      <c r="D47" s="20"/>
      <c r="E47" s="45" t="str">
        <f>IF([1]Blank42!E376=0,FIXED(0,0,0),[1]Blank42!E376)</f>
        <v>0</v>
      </c>
      <c r="F47" s="45" t="str">
        <f>IF([1]Blank42!F376=0,FIXED(0,0,0),[1]Blank42!F376)</f>
        <v>0</v>
      </c>
      <c r="G47" s="45" t="str">
        <f>IF([1]Blank42!G376=0,FIXED(0,0,0),[1]Blank42!G376)</f>
        <v>0</v>
      </c>
      <c r="H47" s="45" t="str">
        <f>IF([1]Blank42!H376=0,FIXED(0,0,0),[1]Blank42!H376)</f>
        <v>0</v>
      </c>
      <c r="I47" s="45" t="str">
        <f>IF([1]Blank42!I376=0,FIXED(0,0,0),[1]Blank42!I376)</f>
        <v>0</v>
      </c>
      <c r="J47" s="45" t="str">
        <f>IF([1]Blank42!J376=0,FIXED(0,0,0),[1]Blank42!J376)</f>
        <v>0</v>
      </c>
      <c r="K47" s="20"/>
      <c r="L47" s="20"/>
      <c r="M47" s="20"/>
      <c r="N47" s="20"/>
    </row>
    <row r="48" spans="1:14" x14ac:dyDescent="0.35">
      <c r="A48" s="20"/>
      <c r="B48" s="20"/>
      <c r="C48" s="72" t="str">
        <f>[1]Blank42!C377</f>
        <v>Net Cash Flow of RE</v>
      </c>
      <c r="D48" s="20"/>
      <c r="E48" s="45" t="str">
        <f>IF([1]Blank42!E377=0,FIXED(0,0,0),[1]Blank42!E377)</f>
        <v>0</v>
      </c>
      <c r="F48" s="45" t="str">
        <f>IF([1]Blank42!F377=0,FIXED(0,0,0),[1]Blank42!F377)</f>
        <v>0</v>
      </c>
      <c r="G48" s="45" t="str">
        <f>IF([1]Blank42!G377=0,FIXED(0,0,0),[1]Blank42!G377)</f>
        <v>0</v>
      </c>
      <c r="H48" s="45" t="str">
        <f>IF([1]Blank42!H377=0,FIXED(0,0,0),[1]Blank42!H377)</f>
        <v>0</v>
      </c>
      <c r="I48" s="45" t="str">
        <f>IF([1]Blank42!I377=0,FIXED(0,0,0),[1]Blank42!I377)</f>
        <v>0</v>
      </c>
      <c r="J48" s="45" t="str">
        <f>IF([1]Blank42!J377=0,FIXED(0,0,0),[1]Blank42!J377)</f>
        <v>0</v>
      </c>
      <c r="K48" s="20"/>
      <c r="L48" s="20"/>
      <c r="M48" s="20"/>
      <c r="N48" s="20"/>
    </row>
    <row r="49" spans="1:14" ht="12.75" customHeight="1" x14ac:dyDescent="0.35">
      <c r="A49" s="20"/>
      <c r="B49" s="20"/>
      <c r="C49" s="72" t="str">
        <f>[1]Blank42!C378</f>
        <v>RE Closing Cost at Exit</v>
      </c>
      <c r="D49" s="20"/>
      <c r="E49" s="45" t="str">
        <f>IF([1]Blank42!E378=0,FIXED(0,0,0),[1]Blank42!E378)</f>
        <v>0</v>
      </c>
      <c r="F49" s="45" t="str">
        <f>IF([1]Blank42!F378=0,FIXED(0,0,0),[1]Blank42!F378)</f>
        <v>0</v>
      </c>
      <c r="G49" s="45" t="str">
        <f>IF([1]Blank42!G378=0,FIXED(0,0,0),[1]Blank42!G378)</f>
        <v>0</v>
      </c>
      <c r="H49" s="45" t="str">
        <f>IF([1]Blank42!H378=0,FIXED(0,0,0),[1]Blank42!H378)</f>
        <v>0</v>
      </c>
      <c r="I49" s="45" t="str">
        <f>IF([1]Blank42!I378=0,FIXED(0,0,0),[1]Blank42!I378)</f>
        <v>0</v>
      </c>
      <c r="J49" s="45" t="str">
        <f>IF([1]Blank42!J378=0,FIXED(0,0,0),[1]Blank42!J378)</f>
        <v>0</v>
      </c>
      <c r="K49" s="20"/>
      <c r="L49" s="41" t="str">
        <f>[1]Blank42!L378</f>
        <v>Closing Cost 5 %</v>
      </c>
      <c r="M49" s="20"/>
      <c r="N49" s="20"/>
    </row>
    <row r="50" spans="1:14" ht="13.5" customHeight="1" x14ac:dyDescent="0.6">
      <c r="A50" s="20"/>
      <c r="B50" s="20"/>
      <c r="C50" s="72" t="str">
        <f>[1]Blank42!C379</f>
        <v>Less Non-Operating Liabilities</v>
      </c>
      <c r="D50" s="20"/>
      <c r="E50" s="50" t="str">
        <f>IF([1]Blank42!E379=0,FIXED(0,0,0),[1]Blank42!E379)</f>
        <v>0</v>
      </c>
      <c r="F50" s="50" t="str">
        <f>IF([1]Blank42!F379=0,FIXED(0,0,0),[1]Blank42!F379)</f>
        <v>0</v>
      </c>
      <c r="G50" s="50" t="str">
        <f>IF([1]Blank42!G379=0,FIXED(0,0,0),[1]Blank42!G379)</f>
        <v>0</v>
      </c>
      <c r="H50" s="50" t="str">
        <f>IF([1]Blank42!H379=0,FIXED(0,0,0),[1]Blank42!H379)</f>
        <v>0</v>
      </c>
      <c r="I50" s="50" t="str">
        <f>IF([1]Blank42!I379=0,FIXED(0,0,0),[1]Blank42!I379)</f>
        <v>0</v>
      </c>
      <c r="J50" s="50" t="str">
        <f>IF([1]Blank42!J379=0,FIXED(0,0,0),[1]Blank42!J379)</f>
        <v>0</v>
      </c>
      <c r="K50" s="20"/>
      <c r="L50" s="20"/>
      <c r="M50" s="20"/>
      <c r="N50" s="20"/>
    </row>
    <row r="51" spans="1:14" ht="13.5" customHeight="1" x14ac:dyDescent="0.45">
      <c r="A51" s="20"/>
      <c r="B51" s="20"/>
      <c r="C51" s="72" t="str">
        <f>[1]Blank42!C380</f>
        <v>Pre-Tax Cash Flow</v>
      </c>
      <c r="D51" s="20"/>
      <c r="E51" s="291" t="str">
        <f>IF([1]Blank42!E380=0,FIXED(0,0,0),[1]Blank42!E380)</f>
        <v>0</v>
      </c>
      <c r="F51" s="291" t="str">
        <f>IF([1]Blank42!F380=0,FIXED(0,0,0),[1]Blank42!F380)</f>
        <v>0</v>
      </c>
      <c r="G51" s="291" t="str">
        <f>IF([1]Blank42!G380=0,FIXED(0,0,0),[1]Blank42!G380)</f>
        <v>0</v>
      </c>
      <c r="H51" s="291" t="str">
        <f>IF([1]Blank42!H380=0,FIXED(0,0,0),[1]Blank42!H380)</f>
        <v>0</v>
      </c>
      <c r="I51" s="291" t="str">
        <f>IF([1]Blank42!I380=0,FIXED(0,0,0),[1]Blank42!I380)</f>
        <v>0</v>
      </c>
      <c r="J51" s="291" t="str">
        <f>IF([1]Blank42!J380=0,FIXED(0,0,0),[1]Blank42!J380)</f>
        <v>0</v>
      </c>
      <c r="K51" s="344" t="str">
        <f>[1]Blank42!K380</f>
        <v>RE ROI =</v>
      </c>
      <c r="L51" s="345">
        <f>[1]Blank42!L380</f>
        <v>0</v>
      </c>
      <c r="M51" s="20"/>
      <c r="N51" s="20"/>
    </row>
    <row r="55" spans="1:14" x14ac:dyDescent="0.35">
      <c r="A55" s="234">
        <f ca="1">'[1]Valuation 1'!$A$44</f>
        <v>816414.83860721253</v>
      </c>
    </row>
  </sheetData>
  <mergeCells count="1">
    <mergeCell ref="L5:M5"/>
  </mergeCells>
  <conditionalFormatting sqref="F9:J10 F19:J21 F23:J23 F25:J25 E29:J34 E36:J36 E38:J42 E44:J45 E47:J51">
    <cfRule type="expression" dxfId="9" priority="1" stopIfTrue="1">
      <formula>$N$453</formula>
    </cfRule>
  </conditionalFormatting>
  <pageMargins left="0.75" right="0.75" top="1" bottom="1" header="0.5" footer="0.5"/>
  <pageSetup scale="86"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0E89-4580-445C-B44A-C69F43037F62}">
  <sheetPr codeName="Sheet7">
    <pageSetUpPr fitToPage="1"/>
  </sheetPr>
  <dimension ref="A1:O57"/>
  <sheetViews>
    <sheetView showGridLines="0" zoomScaleNormal="100" workbookViewId="0"/>
  </sheetViews>
  <sheetFormatPr defaultRowHeight="12.75" x14ac:dyDescent="0.35"/>
  <cols>
    <col min="1" max="1" width="13.23046875" style="1" customWidth="1"/>
    <col min="2" max="2" width="9.23046875" style="1"/>
    <col min="3" max="3" width="12.15234375" style="1" customWidth="1"/>
    <col min="4" max="4" width="9.23046875" style="1"/>
    <col min="5" max="5" width="11.3828125" style="1" customWidth="1"/>
    <col min="6" max="6" width="9.23046875" style="1"/>
    <col min="7" max="7" width="12.15234375" style="1" customWidth="1"/>
    <col min="8" max="8" width="7.69140625" style="1" customWidth="1"/>
    <col min="9" max="9" width="10.765625" style="1" customWidth="1"/>
    <col min="10" max="10" width="11.921875" style="1" customWidth="1"/>
    <col min="11" max="11" width="12.15234375" style="1" customWidth="1"/>
    <col min="12" max="12" width="7.69140625" style="1" customWidth="1"/>
    <col min="13" max="13" width="9.23046875" style="1"/>
    <col min="14" max="14" width="10.3828125" style="1" customWidth="1"/>
    <col min="15" max="15" width="12.15234375" style="1" customWidth="1"/>
    <col min="16" max="16384" width="9.23046875" style="1"/>
  </cols>
  <sheetData>
    <row r="1" spans="1:15" ht="6" customHeight="1" x14ac:dyDescent="0.35"/>
    <row r="2" spans="1:15" ht="17.649999999999999" x14ac:dyDescent="0.5">
      <c r="C2" s="2"/>
      <c r="D2" s="2"/>
      <c r="E2" s="332" t="str">
        <f>[1]Blank42!E63</f>
        <v>Bank Loan Details, Sources/Uses of Funds,</v>
      </c>
      <c r="G2" s="2"/>
      <c r="H2" s="232"/>
      <c r="I2" s="2"/>
      <c r="J2" s="2"/>
      <c r="K2" s="2"/>
      <c r="L2" s="2"/>
    </row>
    <row r="3" spans="1:15" ht="18" customHeight="1" x14ac:dyDescent="0.5">
      <c r="A3" s="8" t="str">
        <f>[1]Blank42!A64</f>
        <v>Company:</v>
      </c>
      <c r="B3" s="89" t="str">
        <f>[1]Blank42!B64</f>
        <v>Best Business, Inc.</v>
      </c>
      <c r="C3" s="2"/>
      <c r="D3" s="2"/>
      <c r="F3" s="5" t="str">
        <f>[1]Blank42!$E$64</f>
        <v>and Purch. Price Allocation</v>
      </c>
      <c r="L3" s="2"/>
      <c r="M3" s="2"/>
    </row>
    <row r="4" spans="1:15" ht="15" customHeight="1" x14ac:dyDescent="0.35">
      <c r="A4" s="333" t="str">
        <f>[1]Blank42!A63</f>
        <v>Prepared for:</v>
      </c>
      <c r="B4" s="10" t="str">
        <f>[1]Blank42!B63</f>
        <v>Mr. Client</v>
      </c>
      <c r="C4" s="2"/>
      <c r="D4" s="2"/>
      <c r="E4" s="8" t="str">
        <f>[1]Blank42!H65</f>
        <v>Prepared by:</v>
      </c>
      <c r="F4" s="10" t="str">
        <f>[1]Blank42!I65</f>
        <v>Illinois Corporate Investments Inc.</v>
      </c>
      <c r="G4" s="245"/>
      <c r="H4" s="334"/>
      <c r="I4" s="245"/>
      <c r="J4" s="8" t="str">
        <f>[1]Blank42!E65</f>
        <v>Preparer:</v>
      </c>
      <c r="K4" s="10" t="str">
        <f>[1]Blank42!F65</f>
        <v>Mr. Professional</v>
      </c>
      <c r="L4" s="2"/>
      <c r="M4" s="2"/>
      <c r="N4" s="2"/>
    </row>
    <row r="5" spans="1:15" ht="6" customHeight="1" x14ac:dyDescent="0.35">
      <c r="C5" s="2"/>
      <c r="D5" s="2"/>
      <c r="E5" s="2"/>
      <c r="H5" s="232"/>
      <c r="I5" s="2"/>
      <c r="J5" s="2"/>
      <c r="K5" s="2"/>
      <c r="L5" s="2"/>
      <c r="M5" s="2"/>
      <c r="N5" s="2"/>
      <c r="O5" s="2"/>
    </row>
    <row r="6" spans="1:15" ht="12" customHeight="1" x14ac:dyDescent="0.35">
      <c r="A6" s="2"/>
      <c r="B6" s="2"/>
      <c r="C6" s="2"/>
      <c r="D6" s="2"/>
      <c r="E6" s="2"/>
      <c r="F6" s="7"/>
      <c r="G6" s="2"/>
      <c r="H6" s="232"/>
      <c r="I6" s="2"/>
      <c r="J6" s="2"/>
      <c r="K6" s="2"/>
      <c r="L6" s="2"/>
      <c r="M6" s="13">
        <f ca="1">[1]Blank42!M63</f>
        <v>44412.60115613426</v>
      </c>
      <c r="N6" s="13"/>
      <c r="O6" s="8" t="s">
        <v>92</v>
      </c>
    </row>
    <row r="7" spans="1:15" ht="13.15" x14ac:dyDescent="0.4">
      <c r="A7" s="139"/>
      <c r="B7" s="140" t="str">
        <f>[1]Blank42!B70</f>
        <v>Bank Loan Details</v>
      </c>
      <c r="C7" s="20"/>
      <c r="D7" s="20"/>
      <c r="E7" s="139"/>
      <c r="F7" s="140" t="str">
        <f>[1]Blank42!F70</f>
        <v>Sources of Funds</v>
      </c>
      <c r="G7" s="20"/>
      <c r="H7" s="20"/>
      <c r="I7" s="139"/>
      <c r="J7" s="140" t="str">
        <f>[1]Blank42!J70</f>
        <v>Uses of Funds</v>
      </c>
      <c r="K7" s="20"/>
      <c r="L7" s="139"/>
      <c r="M7" s="139"/>
      <c r="N7" s="140" t="str">
        <f>[1]Blank42!N70</f>
        <v>Purchase Price Allocation</v>
      </c>
      <c r="O7" s="20"/>
    </row>
    <row r="8" spans="1:15" ht="6" customHeight="1" x14ac:dyDescent="0.35">
      <c r="A8" s="20"/>
      <c r="B8" s="20"/>
      <c r="C8" s="20"/>
      <c r="D8" s="20"/>
      <c r="E8" s="20"/>
      <c r="F8" s="20"/>
      <c r="G8" s="20"/>
      <c r="H8" s="20"/>
      <c r="I8" s="20"/>
      <c r="J8" s="20"/>
      <c r="K8" s="20"/>
      <c r="L8" s="20"/>
      <c r="M8" s="20"/>
      <c r="N8" s="20"/>
      <c r="O8" s="20"/>
    </row>
    <row r="9" spans="1:15" x14ac:dyDescent="0.35">
      <c r="A9" s="20"/>
      <c r="B9" s="56" t="str">
        <f>[1]Blank42!B71</f>
        <v>Revolver: % of A/R</v>
      </c>
      <c r="C9" s="45">
        <f>IF([1]Blank42!C71=0,FIXED(0,0,0),[1]Blank42!C71)</f>
        <v>480</v>
      </c>
      <c r="D9" s="20"/>
      <c r="E9" s="20"/>
      <c r="F9" s="56" t="str">
        <f>[1]Blank42!F71</f>
        <v>Bank &amp; Mezz Debt</v>
      </c>
      <c r="G9" s="68">
        <f>IF([1]Blank42!G71=0,FIXED(0,0,0),[1]Blank42!G71)</f>
        <v>1640</v>
      </c>
      <c r="H9" s="20"/>
      <c r="I9" s="20"/>
      <c r="J9" s="56" t="str">
        <f>[1]Blank42!J71</f>
        <v>Cash Down Payment</v>
      </c>
      <c r="K9" s="68">
        <f>IF([1]Blank42!K71=0,FIXED(0,0,0),[1]Blank42!K71)</f>
        <v>2451.785049534185</v>
      </c>
      <c r="L9" s="20"/>
      <c r="M9" s="20"/>
      <c r="N9" s="56" t="str">
        <f>[1]Blank42!N71</f>
        <v>Tangible Assets</v>
      </c>
      <c r="O9" s="68">
        <f>IF([1]Blank42!O71=0,FIXED(0,0,0),[1]Blank42!O71)</f>
        <v>1500</v>
      </c>
    </row>
    <row r="10" spans="1:15" x14ac:dyDescent="0.35">
      <c r="A10" s="20"/>
      <c r="B10" s="56" t="str">
        <f>[1]Blank42!B72</f>
        <v>Revolver: % of Inventory</v>
      </c>
      <c r="C10" s="45">
        <f>IF([1]Blank42!C72=0,FIXED(0,0,0),[1]Blank42!C72)</f>
        <v>360</v>
      </c>
      <c r="D10" s="20"/>
      <c r="E10" s="20"/>
      <c r="F10" s="56" t="str">
        <f>[1]Blank42!F72</f>
        <v>Buyer Equity</v>
      </c>
      <c r="G10" s="68">
        <f>IF([1]Blank42!G72=0,FIXED(0,0,0),[1]Blank42!G72)</f>
        <v>885.23785249390869</v>
      </c>
      <c r="H10" s="20"/>
      <c r="I10" s="20"/>
      <c r="J10" s="275" t="str">
        <f>[1]Blank42!J73</f>
        <v>Gap(Seller) Note</v>
      </c>
      <c r="K10" s="68">
        <f>IF([1]Blank42!K73=0,FIXED(0,0,0),[1]Blank42!K73)</f>
        <v>1220.8550984519884</v>
      </c>
      <c r="L10" s="20"/>
      <c r="M10" s="20"/>
      <c r="N10" s="56" t="str">
        <f>[1]Blank42!N72</f>
        <v>Acquisition Expenses</v>
      </c>
      <c r="O10" s="68">
        <f>IF([1]Blank42!O72=0,FIXED(0,0,0),[1]Blank42!O72)</f>
        <v>73.452802959723471</v>
      </c>
    </row>
    <row r="11" spans="1:15" x14ac:dyDescent="0.35">
      <c r="A11" s="20"/>
      <c r="B11" s="56" t="str">
        <f>[1]Blank42!B73</f>
        <v>Term Loan</v>
      </c>
      <c r="C11" s="45">
        <f>IF([1]Blank42!C73=0,FIXED(0,0,0),[1]Blank42!C73)</f>
        <v>800</v>
      </c>
      <c r="D11" s="20"/>
      <c r="E11" s="20"/>
      <c r="F11" s="275" t="str">
        <f>[1]Blank42!F73</f>
        <v>Gap(Seller) Note</v>
      </c>
      <c r="G11" s="68">
        <f>IF([1]Blank42!G73=0,FIXED(0,0,0),[1]Blank42!G73)</f>
        <v>1220.8550984519884</v>
      </c>
      <c r="H11" s="20"/>
      <c r="I11" s="20"/>
      <c r="J11" s="56" t="str">
        <f>[1]Blank42!J74</f>
        <v>Gap(Seller) Balloon Note</v>
      </c>
      <c r="K11" s="68" t="str">
        <f>IF([1]Blank42!K74=0,FIXED(0,0,0),[1]Blank42!K74)</f>
        <v>0</v>
      </c>
      <c r="L11" s="20"/>
      <c r="M11" s="20"/>
      <c r="N11" s="56" t="str">
        <f>[1]Blank42!N73</f>
        <v>Non-Compete</v>
      </c>
      <c r="O11" s="68" t="str">
        <f>IF([1]Blank42!O73=0,FIXED(0,0,0),[1]Blank42!O73)</f>
        <v>0</v>
      </c>
    </row>
    <row r="12" spans="1:15" x14ac:dyDescent="0.35">
      <c r="A12" s="20"/>
      <c r="B12" s="56" t="str">
        <f>[1]Blank42!B74</f>
        <v>Over Advance Loan</v>
      </c>
      <c r="C12" s="45" t="str">
        <f>IF([1]Blank42!C74=0,FIXED(0,0,0),[1]Blank42!C74)</f>
        <v>0</v>
      </c>
      <c r="D12" s="20"/>
      <c r="E12" s="20"/>
      <c r="F12" s="275" t="str">
        <f>[1]Blank42!F74</f>
        <v>Gap(Seller) Balloon Note</v>
      </c>
      <c r="G12" s="68" t="str">
        <f>IF([1]Blank42!G74=0,FIXED(0,0,0),[1]Blank42!G74)</f>
        <v>0</v>
      </c>
      <c r="H12" s="20"/>
      <c r="I12" s="20"/>
      <c r="J12" s="56" t="str">
        <f>[1]Blank42!J75</f>
        <v>Remaining Non-Compete</v>
      </c>
      <c r="K12" s="68" t="str">
        <f>IF([1]Blank42!K75=0,FIXED(0,0,0),[1]Blank42!K75)</f>
        <v>0</v>
      </c>
      <c r="L12" s="20"/>
      <c r="M12" s="20"/>
      <c r="N12" s="56" t="str">
        <f>[1]Blank42!N74</f>
        <v>Personal Goodwill</v>
      </c>
      <c r="O12" s="68" t="str">
        <f>IF([1]Blank42!O74=0,FIXED(0,0,0),[1]Blank42!O74)</f>
        <v>0</v>
      </c>
    </row>
    <row r="13" spans="1:15" ht="14.65" x14ac:dyDescent="0.6">
      <c r="A13" s="20"/>
      <c r="B13" s="56" t="str">
        <f>[1]Blank42!B75</f>
        <v>Mezzanine Financing</v>
      </c>
      <c r="C13" s="50" t="str">
        <f>IF([1]Blank42!C75=0,FIXED(0,0,0),[1]Blank42!C75)</f>
        <v>0</v>
      </c>
      <c r="D13" s="20"/>
      <c r="E13" s="20"/>
      <c r="F13" s="56" t="str">
        <f>[1]Blank42!F75</f>
        <v>Remaining Non-Compete</v>
      </c>
      <c r="G13" s="68" t="str">
        <f>IF([1]Blank42!G75=0,FIXED(0,0,0),[1]Blank42!G75)</f>
        <v>0</v>
      </c>
      <c r="H13" s="20"/>
      <c r="I13" s="20"/>
      <c r="J13" s="56" t="str">
        <f>[1]Blank42!J76</f>
        <v>Remaining Personal Goodwill</v>
      </c>
      <c r="K13" s="68" t="str">
        <f>IF([1]Blank42!K76=0,FIXED(0,0,0),[1]Blank42!K76)</f>
        <v>0</v>
      </c>
      <c r="L13" s="335"/>
      <c r="M13" s="20"/>
      <c r="N13" s="56" t="str">
        <f>[1]Blank42!N75</f>
        <v>Prepaid Consulting</v>
      </c>
      <c r="O13" s="68" t="str">
        <f>IF([1]Blank42!O75=0,FIXED(0,0,0),[1]Blank42!O75)</f>
        <v>0</v>
      </c>
    </row>
    <row r="14" spans="1:15" ht="14.65" x14ac:dyDescent="0.6">
      <c r="A14" s="20"/>
      <c r="B14" s="56" t="str">
        <f>[1]Blank42!B76</f>
        <v>Bank &amp; Mezz Debt</v>
      </c>
      <c r="C14" s="291">
        <f>IF([1]Blank42!C76=0,FIXED(0,0,0),[1]Blank42!C76)</f>
        <v>1640</v>
      </c>
      <c r="D14" s="20"/>
      <c r="E14" s="20"/>
      <c r="F14" s="56" t="str">
        <f>[1]Blank42!F76</f>
        <v>Remaining Personal Goodwill</v>
      </c>
      <c r="G14" s="68" t="str">
        <f>IF([1]Blank42!G76=0,FIXED(0,0,0),[1]Blank42!G76)</f>
        <v>0</v>
      </c>
      <c r="H14" s="20"/>
      <c r="I14" s="20"/>
      <c r="J14" s="56" t="str">
        <f>[1]Blank42!J77</f>
        <v>Remaining Consulting (PV)</v>
      </c>
      <c r="K14" s="58" t="str">
        <f>IF([1]Blank42!K77=0,FIXED(0,0,0),[1]Blank42!K77)</f>
        <v>0</v>
      </c>
      <c r="L14" s="20"/>
      <c r="M14" s="20"/>
      <c r="N14" s="56" t="str">
        <f>[1]Blank42!N76</f>
        <v>Remaining Consulting (PV*)</v>
      </c>
      <c r="O14" s="68" t="str">
        <f>IF([1]Blank42!O76=0,FIXED(0,0,0),[1]Blank42!O76)</f>
        <v>0</v>
      </c>
    </row>
    <row r="15" spans="1:15" ht="14.65" x14ac:dyDescent="0.6">
      <c r="A15" s="20"/>
      <c r="B15" s="20"/>
      <c r="C15" s="20"/>
      <c r="D15" s="20"/>
      <c r="E15" s="20"/>
      <c r="F15" s="56" t="str">
        <f>[1]Blank42!F77</f>
        <v>Remaining Consulting (PV)</v>
      </c>
      <c r="G15" s="58" t="str">
        <f>IF([1]Blank42!G77=0,FIXED(0,0,0),[1]Blank42!G77)</f>
        <v>0</v>
      </c>
      <c r="H15" s="20"/>
      <c r="I15" s="20"/>
      <c r="J15" s="56" t="str">
        <f>[1]Blank42!J78</f>
        <v>Purchase Price</v>
      </c>
      <c r="K15" s="68">
        <f>IF([1]Blank42!K78=0,FIXED(0,0,0),[1]Blank42!K78)</f>
        <v>3672.6401479861734</v>
      </c>
      <c r="L15" s="20"/>
      <c r="M15" s="20"/>
      <c r="N15" s="56" t="str">
        <f>[1]Blank42!N77</f>
        <v>Goodwill</v>
      </c>
      <c r="O15" s="58">
        <f>IF([1]Blank42!O77=0,FIXED(0,0,0),[1]Blank42!O77)</f>
        <v>2472.6401479861734</v>
      </c>
    </row>
    <row r="16" spans="1:15" ht="14.65" x14ac:dyDescent="0.6">
      <c r="A16" s="20"/>
      <c r="B16" s="56" t="str">
        <f>[1]Blank42!B77</f>
        <v>RE Loan</v>
      </c>
      <c r="C16" s="50" t="str">
        <f>IF([1]Blank42!C77=0,FIXED(0,0,0),[1]Blank42!C77)</f>
        <v>0</v>
      </c>
      <c r="D16" s="20"/>
      <c r="E16" s="20"/>
      <c r="F16" s="56" t="str">
        <f>[1]Blank42!F78</f>
        <v>Total Sources of Funds</v>
      </c>
      <c r="G16" s="268">
        <f>IF([1]Blank42!G78=0,FIXED(0,0,0),[1]Blank42!G78)</f>
        <v>3746.092950945897</v>
      </c>
      <c r="H16" s="20"/>
      <c r="I16" s="20"/>
      <c r="J16" s="56" t="str">
        <f>[1]Blank42!J79</f>
        <v>Acquisition Expenses</v>
      </c>
      <c r="K16" s="58">
        <f>IF([1]Blank42!K79=0,FIXED(0,0,0),[1]Blank42!K79)</f>
        <v>73.452802959723471</v>
      </c>
      <c r="L16" s="20"/>
      <c r="M16" s="20"/>
      <c r="N16" s="336" t="str">
        <f>[1]Blank42!N78</f>
        <v>Total Consideration</v>
      </c>
      <c r="O16" s="68">
        <f>IF([1]Blank42!O78=0,FIXED(0,0,0),[1]Blank42!O78)</f>
        <v>4046.0929509458965</v>
      </c>
    </row>
    <row r="17" spans="1:15" ht="13.5" x14ac:dyDescent="0.45">
      <c r="A17" s="20"/>
      <c r="B17" s="56" t="str">
        <f>[1]Blank42!B78</f>
        <v>Total  Debt</v>
      </c>
      <c r="C17" s="45">
        <f>IF([1]Blank42!C78=0,FIXED(0,0,0),[1]Blank42!C78)</f>
        <v>1640</v>
      </c>
      <c r="D17" s="20"/>
      <c r="E17" s="20"/>
      <c r="F17" s="20"/>
      <c r="G17" s="34"/>
      <c r="H17" s="20"/>
      <c r="I17" s="20"/>
      <c r="J17" s="56" t="str">
        <f>[1]Blank42!J80</f>
        <v>Uses of Funds</v>
      </c>
      <c r="K17" s="268">
        <f>IF([1]Blank42!K80=0,FIXED(0,0,0),[1]Blank42!K80)</f>
        <v>3746.092950945897</v>
      </c>
      <c r="L17" s="20"/>
      <c r="M17" s="20"/>
      <c r="N17" s="20"/>
      <c r="O17" s="257"/>
    </row>
    <row r="18" spans="1:15" ht="14.65" x14ac:dyDescent="0.6">
      <c r="A18" s="20"/>
      <c r="B18" s="20"/>
      <c r="C18" s="257"/>
      <c r="D18" s="20"/>
      <c r="E18" s="20"/>
      <c r="F18" s="56" t="str">
        <f>[1]Blank42!F81</f>
        <v>Assumed Liabilities</v>
      </c>
      <c r="G18" s="68">
        <f>IF([1]Blank42!G81=0,FIXED(0,0,0),[1]Blank42!G81)</f>
        <v>300</v>
      </c>
      <c r="H18" s="20"/>
      <c r="I18" s="20"/>
      <c r="J18" s="56"/>
      <c r="K18" s="302"/>
      <c r="L18" s="20"/>
      <c r="M18" s="20"/>
      <c r="N18" s="41" t="str">
        <f>[1]Blank42!N81</f>
        <v>Difference = (Total Consulting- PV)</v>
      </c>
      <c r="O18" s="50" t="str">
        <f>IF([1]Blank42!O81=0,FIXED(0,0,0),[1]Blank42!O81)</f>
        <v>0</v>
      </c>
    </row>
    <row r="19" spans="1:15" ht="14.65" x14ac:dyDescent="0.6">
      <c r="A19" s="269" t="str">
        <f ca="1">ROUND(A57,0)&amp;[1]Blank42!O11</f>
        <v>8164150</v>
      </c>
      <c r="B19" s="270" t="str">
        <f>[1]Blank42!$A$9</f>
        <v>BVX®</v>
      </c>
      <c r="C19" s="257"/>
      <c r="D19" s="20"/>
      <c r="E19" s="20"/>
      <c r="F19" s="56" t="str">
        <f>[1]Blank42!F82</f>
        <v/>
      </c>
      <c r="G19" s="58" t="str">
        <f>IF([1]Blank42!G82=0,FIXED(0,0,0),[1]Blank42!G82)</f>
        <v>0</v>
      </c>
      <c r="H19" s="20"/>
      <c r="I19" s="20"/>
      <c r="J19" s="56"/>
      <c r="K19" s="302"/>
      <c r="L19" s="20"/>
      <c r="M19" s="20"/>
      <c r="N19" s="56" t="str">
        <f>[1]Blank42!N82</f>
        <v>Total Consideration: Balance Sheet</v>
      </c>
      <c r="O19" s="291">
        <f>IF([1]Blank42!O82=0,FIXED(0,0,0),[1]Blank42!O82)</f>
        <v>4046.0929509458965</v>
      </c>
    </row>
    <row r="20" spans="1:15" ht="13.5" x14ac:dyDescent="0.45">
      <c r="A20" s="20"/>
      <c r="B20" s="20"/>
      <c r="C20" s="20"/>
      <c r="D20" s="20"/>
      <c r="E20" s="20"/>
      <c r="F20" s="56" t="str">
        <f>[1]Blank42!F83</f>
        <v>Total Consideration</v>
      </c>
      <c r="G20" s="268">
        <f>IF([1]Blank42!G83=0,FIXED(0,0,0),[1]Blank42!G83)</f>
        <v>4046.092950945897</v>
      </c>
      <c r="H20" s="20"/>
      <c r="I20" s="67" t="str">
        <f>[1]Blank42!$I$83</f>
        <v>* PV is Present Value of Consulting @ 8%</v>
      </c>
      <c r="J20" s="20"/>
      <c r="K20" s="20"/>
      <c r="L20" s="20"/>
      <c r="M20" s="20"/>
      <c r="N20" s="20"/>
      <c r="O20" s="20"/>
    </row>
    <row r="57" spans="1:1" x14ac:dyDescent="0.35">
      <c r="A57" s="234">
        <f ca="1">'[1]Valuation 1'!$A$44</f>
        <v>816414.83860721253</v>
      </c>
    </row>
  </sheetData>
  <mergeCells count="1">
    <mergeCell ref="M6:N6"/>
  </mergeCells>
  <conditionalFormatting sqref="K17">
    <cfRule type="expression" dxfId="10" priority="1" stopIfTrue="1">
      <formula>$K$82="Error"</formula>
    </cfRule>
  </conditionalFormatting>
  <pageMargins left="0.75" right="0.75" top="1" bottom="1" header="0.5" footer="0.5"/>
  <pageSetup scale="9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83ED-9827-488A-B469-45F62946E05B}">
  <sheetPr codeName="Sheet6">
    <pageSetUpPr fitToPage="1"/>
  </sheetPr>
  <dimension ref="A1:N60"/>
  <sheetViews>
    <sheetView showGridLines="0" zoomScaleNormal="100" workbookViewId="0"/>
  </sheetViews>
  <sheetFormatPr defaultRowHeight="12.75" x14ac:dyDescent="0.35"/>
  <cols>
    <col min="1" max="1" width="12.69140625" style="1" customWidth="1"/>
    <col min="2" max="3" width="9.23046875" style="1"/>
    <col min="4" max="4" width="10.765625" style="1" customWidth="1"/>
    <col min="5" max="10" width="12.15234375" style="1" customWidth="1"/>
    <col min="11" max="11" width="11.3828125" style="1" customWidth="1"/>
    <col min="12" max="13" width="9.23046875" style="1"/>
    <col min="14" max="14" width="10.3828125" style="1" customWidth="1"/>
    <col min="15" max="15" width="10.23046875" style="1" customWidth="1"/>
    <col min="16" max="16384" width="9.23046875" style="1"/>
  </cols>
  <sheetData>
    <row r="1" spans="1:14" ht="6" customHeight="1" x14ac:dyDescent="0.35"/>
    <row r="2" spans="1:14" ht="18" customHeight="1" x14ac:dyDescent="0.5">
      <c r="A2" s="4" t="str">
        <f>[1]Blank42!A224</f>
        <v>Company:</v>
      </c>
      <c r="B2" s="238" t="str">
        <f>[1]Blank42!B224</f>
        <v>Best Business, Inc.</v>
      </c>
      <c r="C2" s="246"/>
      <c r="F2" s="297" t="str">
        <f>[1]Blank42!F223</f>
        <v>Buyer's Pre-Tax ROE</v>
      </c>
      <c r="G2" s="247"/>
      <c r="H2" s="247"/>
      <c r="I2" s="247"/>
      <c r="J2" s="247"/>
    </row>
    <row r="3" spans="1:14" ht="15" customHeight="1" x14ac:dyDescent="0.35">
      <c r="A3" s="4" t="str">
        <f>[1]Blank42!A223</f>
        <v>Prepared for:</v>
      </c>
      <c r="B3" s="243" t="str">
        <f>[1]Blank42!B223</f>
        <v>Mr. Client</v>
      </c>
      <c r="C3" s="246"/>
      <c r="E3" s="271" t="str">
        <f>[1]Blank42!H224</f>
        <v>Prepared by:</v>
      </c>
      <c r="F3" s="272" t="str">
        <f>[1]Blank42!I224</f>
        <v>Illinois Corporate Investments Inc.</v>
      </c>
      <c r="G3" s="273"/>
      <c r="H3" s="245"/>
      <c r="I3" s="245"/>
      <c r="J3" s="4" t="str">
        <f>[1]Blank42!E224</f>
        <v>Preparer:</v>
      </c>
      <c r="K3" s="272" t="str">
        <f>[1]Blank42!F224</f>
        <v>Mr. Professional</v>
      </c>
    </row>
    <row r="4" spans="1:14" ht="6" customHeight="1" x14ac:dyDescent="0.35">
      <c r="C4" s="246"/>
      <c r="G4" s="247"/>
      <c r="H4" s="247"/>
      <c r="I4" s="247"/>
      <c r="J4" s="247"/>
    </row>
    <row r="5" spans="1:14" ht="12" customHeight="1" x14ac:dyDescent="0.35">
      <c r="C5" s="246"/>
      <c r="F5" s="247"/>
      <c r="G5" s="247"/>
      <c r="H5" s="247"/>
      <c r="I5" s="247"/>
      <c r="J5" s="247"/>
      <c r="L5" s="248">
        <f ca="1">[1]Blank42!K223</f>
        <v>44412.60115613426</v>
      </c>
      <c r="M5" s="248"/>
      <c r="N5" s="4" t="s">
        <v>82</v>
      </c>
    </row>
    <row r="6" spans="1:14" ht="12" customHeight="1" x14ac:dyDescent="0.4">
      <c r="A6" s="249"/>
      <c r="B6" s="249"/>
      <c r="C6" s="249"/>
      <c r="D6" s="249"/>
      <c r="E6" s="298" t="str">
        <f>[1]Blank42!E226</f>
        <v>Year0</v>
      </c>
      <c r="F6" s="298" t="str">
        <f>[1]Blank42!F226</f>
        <v>Year1</v>
      </c>
      <c r="G6" s="298" t="str">
        <f>[1]Blank42!G226</f>
        <v>Year2</v>
      </c>
      <c r="H6" s="298" t="str">
        <f>[1]Blank42!H226</f>
        <v>Year3</v>
      </c>
      <c r="I6" s="298" t="str">
        <f>[1]Blank42!I226</f>
        <v>Year4</v>
      </c>
      <c r="J6" s="298" t="str">
        <f>[1]Blank42!J226</f>
        <v>Year5</v>
      </c>
      <c r="K6" s="299"/>
      <c r="L6" s="299"/>
      <c r="M6" s="299"/>
      <c r="N6" s="299"/>
    </row>
    <row r="7" spans="1:14" ht="6" customHeight="1" x14ac:dyDescent="0.4">
      <c r="A7" s="20"/>
      <c r="B7" s="20"/>
      <c r="C7" s="20"/>
      <c r="D7" s="300"/>
      <c r="E7" s="301"/>
      <c r="F7" s="301"/>
      <c r="G7" s="301"/>
      <c r="H7" s="301"/>
      <c r="I7" s="301"/>
      <c r="J7" s="301"/>
      <c r="K7" s="257"/>
      <c r="L7" s="257"/>
      <c r="M7" s="302"/>
      <c r="N7" s="302"/>
    </row>
    <row r="8" spans="1:14" x14ac:dyDescent="0.35">
      <c r="A8" s="20"/>
      <c r="B8" s="20"/>
      <c r="C8" s="20"/>
      <c r="D8" s="56" t="str">
        <f>[1]Blank42!D228</f>
        <v>Original Equity Investment</v>
      </c>
      <c r="E8" s="43">
        <f>[1]Blank42!E228</f>
        <v>-885.23785249390869</v>
      </c>
      <c r="F8" s="43"/>
      <c r="G8" s="43"/>
      <c r="H8" s="43"/>
      <c r="I8" s="43"/>
      <c r="J8" s="43"/>
      <c r="K8" s="303" t="s">
        <v>83</v>
      </c>
      <c r="L8" s="304"/>
      <c r="M8" s="302"/>
      <c r="N8" s="302"/>
    </row>
    <row r="9" spans="1:14" x14ac:dyDescent="0.35">
      <c r="A9" s="20"/>
      <c r="B9" s="20"/>
      <c r="C9" s="20"/>
      <c r="D9" s="56" t="str">
        <f>[1]Blank42!D229</f>
        <v>Terminal Value @ Exit Multiple</v>
      </c>
      <c r="E9" s="43"/>
      <c r="F9" s="43"/>
      <c r="G9" s="43"/>
      <c r="H9" s="43"/>
      <c r="I9" s="43"/>
      <c r="J9" s="68">
        <f>IF([1]Blank42!J229=0,FIXED(0,0,0),[1]Blank42!J229)</f>
        <v>4679.9254595427037</v>
      </c>
      <c r="K9" s="305" t="str">
        <f>[1]Blank42!K229</f>
        <v>EM=</v>
      </c>
      <c r="L9" s="306">
        <f>[1]Blank42!L229</f>
        <v>4.889125406231515</v>
      </c>
      <c r="M9" s="302"/>
      <c r="N9" s="302"/>
    </row>
    <row r="10" spans="1:14" x14ac:dyDescent="0.35">
      <c r="A10" s="20"/>
      <c r="B10" s="20"/>
      <c r="C10" s="20"/>
      <c r="D10" s="56" t="str">
        <f>[1]Blank42!D230</f>
        <v>Plus Cash Retained</v>
      </c>
      <c r="E10" s="43"/>
      <c r="F10" s="43"/>
      <c r="G10" s="43"/>
      <c r="H10" s="43"/>
      <c r="I10" s="43"/>
      <c r="J10" s="68" t="str">
        <f>IF([1]Blank42!J230=0,FIXED(0,0,0),[1]Blank42!J230)</f>
        <v>0</v>
      </c>
      <c r="K10" s="303" t="s">
        <v>84</v>
      </c>
      <c r="L10" s="304"/>
      <c r="M10" s="302"/>
      <c r="N10" s="302"/>
    </row>
    <row r="11" spans="1:14" x14ac:dyDescent="0.35">
      <c r="A11" s="20"/>
      <c r="B11" s="20"/>
      <c r="C11" s="20"/>
      <c r="D11" s="56" t="str">
        <f>[1]Blank42!D231</f>
        <v>Closing Cost at Exit</v>
      </c>
      <c r="E11" s="43"/>
      <c r="F11" s="43"/>
      <c r="G11" s="43"/>
      <c r="H11" s="43"/>
      <c r="I11" s="43"/>
      <c r="J11" s="68">
        <f>IF([1]Blank42!J231=0,FIXED(0,0,0),[1]Blank42!J231)</f>
        <v>-233.99627297713519</v>
      </c>
      <c r="K11" s="305" t="str">
        <f>[1]Blank42!K231</f>
        <v>PM=</v>
      </c>
      <c r="L11" s="307">
        <f>[1]Blank42!L231</f>
        <v>4.8968535306482313</v>
      </c>
      <c r="M11" s="302"/>
      <c r="N11" s="302"/>
    </row>
    <row r="12" spans="1:14" x14ac:dyDescent="0.35">
      <c r="A12" s="20"/>
      <c r="B12" s="20"/>
      <c r="C12" s="20"/>
      <c r="D12" s="56" t="str">
        <f>[1]Blank42!D232</f>
        <v>S Corp. Taxes on Asset Sale:State</v>
      </c>
      <c r="E12" s="43"/>
      <c r="F12" s="43"/>
      <c r="G12" s="43"/>
      <c r="H12" s="43"/>
      <c r="I12" s="43"/>
      <c r="J12" s="68">
        <f>IF([1]Blank42!J232=0,FIXED(0,0,0),[1]Blank42!J232)</f>
        <v>-62.502708637243586</v>
      </c>
      <c r="K12" s="308"/>
      <c r="L12" s="309"/>
      <c r="M12" s="302"/>
      <c r="N12" s="302"/>
    </row>
    <row r="13" spans="1:14" ht="14.65" x14ac:dyDescent="0.6">
      <c r="A13" s="20"/>
      <c r="B13" s="20"/>
      <c r="C13" s="20"/>
      <c r="D13" s="56" t="str">
        <f>[1]Blank42!D233</f>
        <v>Less Non-Operating Liabilities</v>
      </c>
      <c r="E13" s="58"/>
      <c r="F13" s="58"/>
      <c r="G13" s="58"/>
      <c r="H13" s="58"/>
      <c r="I13" s="58"/>
      <c r="J13" s="58">
        <f>IF([1]Blank42!J233=0,FIXED(0,0,0),[1]Blank42!J233)</f>
        <v>-839.44085192218915</v>
      </c>
      <c r="K13" s="310"/>
      <c r="L13" s="304"/>
      <c r="M13" s="302"/>
      <c r="N13" s="302"/>
    </row>
    <row r="14" spans="1:14" ht="14.65" x14ac:dyDescent="0.6">
      <c r="A14" s="20"/>
      <c r="B14" s="20"/>
      <c r="C14" s="20"/>
      <c r="D14" s="56" t="str">
        <f>[1]Blank42!D234</f>
        <v>Pre-Tax Proceeds from Terminal Value</v>
      </c>
      <c r="E14" s="58"/>
      <c r="F14" s="58"/>
      <c r="G14" s="58"/>
      <c r="H14" s="58"/>
      <c r="I14" s="58"/>
      <c r="J14" s="58">
        <f>IF([1]Blank42!J234=0,FIXED(0,0,0),[1]Blank42!J234)</f>
        <v>3543.9856260061356</v>
      </c>
      <c r="K14" s="308"/>
      <c r="L14" s="309"/>
      <c r="M14" s="302"/>
      <c r="N14" s="302"/>
    </row>
    <row r="15" spans="1:14" ht="6" customHeight="1" x14ac:dyDescent="0.35">
      <c r="A15" s="20"/>
      <c r="B15" s="20"/>
      <c r="C15" s="20"/>
      <c r="D15" s="56"/>
      <c r="E15" s="296"/>
      <c r="F15" s="296"/>
      <c r="G15" s="296"/>
      <c r="H15" s="296"/>
      <c r="I15" s="296"/>
      <c r="J15" s="296"/>
      <c r="K15" s="311"/>
      <c r="L15" s="311"/>
      <c r="M15" s="302"/>
      <c r="N15" s="302"/>
    </row>
    <row r="16" spans="1:14" x14ac:dyDescent="0.35">
      <c r="A16" s="20"/>
      <c r="B16" s="20"/>
      <c r="C16" s="20"/>
      <c r="D16" s="56" t="str">
        <f>[1]Blank42!D236</f>
        <v>Tax Distribution from Corp. to S-Shrhldr</v>
      </c>
      <c r="E16" s="43"/>
      <c r="F16" s="68">
        <f>IF([1]Blank42!F236=0,FIXED(0,0,0),[1]Blank42!F236)</f>
        <v>38.887301175812624</v>
      </c>
      <c r="G16" s="68">
        <f>IF([1]Blank42!G236=0,FIXED(0,0,0),[1]Blank42!G236)</f>
        <v>59.852605489800055</v>
      </c>
      <c r="H16" s="68">
        <f>IF([1]Blank42!H236=0,FIXED(0,0,0),[1]Blank42!H236)</f>
        <v>82.845683917231426</v>
      </c>
      <c r="I16" s="68">
        <f>IF([1]Blank42!I236=0,FIXED(0,0,0),[1]Blank42!I236)</f>
        <v>108.02724786851428</v>
      </c>
      <c r="J16" s="68">
        <f>IF([1]Blank42!J236=0,FIXED(0,0,0),[1]Blank42!J236)</f>
        <v>135.56718161910564</v>
      </c>
      <c r="K16" s="312"/>
      <c r="L16" s="312"/>
      <c r="M16" s="312" t="s">
        <v>85</v>
      </c>
      <c r="N16" s="302"/>
    </row>
    <row r="17" spans="1:14" ht="14.65" x14ac:dyDescent="0.6">
      <c r="A17" s="20"/>
      <c r="B17" s="20"/>
      <c r="C17" s="20"/>
      <c r="D17" s="56" t="str">
        <f>[1]Blank42!D241</f>
        <v>Taxes from S-Shareholder to IRS</v>
      </c>
      <c r="E17" s="58"/>
      <c r="F17" s="68">
        <f>IF([1]Blank42!F241=0,FIXED(0,0,0),[1]Blank42!F241)</f>
        <v>-38.887301175812624</v>
      </c>
      <c r="G17" s="68">
        <f>IF([1]Blank42!G241=0,FIXED(0,0,0),[1]Blank42!G241)</f>
        <v>-59.852605489800055</v>
      </c>
      <c r="H17" s="68">
        <f>IF([1]Blank42!H241=0,FIXED(0,0,0),[1]Blank42!H241)</f>
        <v>-82.845683917231426</v>
      </c>
      <c r="I17" s="68">
        <f>IF([1]Blank42!I241=0,FIXED(0,0,0),[1]Blank42!I241)</f>
        <v>-108.02724786851428</v>
      </c>
      <c r="J17" s="68">
        <f>IF([1]Blank42!J241=0,FIXED(0,0,0),[1]Blank42!J241)</f>
        <v>-135.56718161910564</v>
      </c>
      <c r="K17" s="20"/>
      <c r="L17" s="41" t="s">
        <v>86</v>
      </c>
      <c r="M17" s="313" t="str">
        <f>IF([1]Blank42!$C$1071=1,"Year-end"," Mid-year")</f>
        <v>Year-end</v>
      </c>
      <c r="N17" s="314"/>
    </row>
    <row r="18" spans="1:14" x14ac:dyDescent="0.35">
      <c r="A18" s="20"/>
      <c r="B18" s="20"/>
      <c r="C18" s="20"/>
      <c r="D18" s="56" t="str">
        <f>[1]Blank42!D237</f>
        <v>Add'l Capital Contribution</v>
      </c>
      <c r="E18" s="43"/>
      <c r="F18" s="68">
        <f>IF([1]Blank42!F237=0,FIXED(0,0,0),[1]Blank42!F237)</f>
        <v>-5.68308023225228E-2</v>
      </c>
      <c r="G18" s="68" t="str">
        <f>IF([1]Blank42!G237=0,FIXED(0,0,0),[1]Blank42!G237)</f>
        <v>0</v>
      </c>
      <c r="H18" s="68" t="str">
        <f>IF([1]Blank42!H237=0,FIXED(0,0,0),[1]Blank42!H237)</f>
        <v>0</v>
      </c>
      <c r="I18" s="68" t="str">
        <f>IF([1]Blank42!I237=0,FIXED(0,0,0),[1]Blank42!I237)</f>
        <v>0</v>
      </c>
      <c r="J18" s="68" t="str">
        <f>IF([1]Blank42!J237=0,FIXED(0,0,0),[1]Blank42!J237)</f>
        <v>0</v>
      </c>
      <c r="K18" s="255"/>
      <c r="L18" s="305" t="s">
        <v>87</v>
      </c>
      <c r="M18" s="315" t="s">
        <v>88</v>
      </c>
      <c r="N18" s="302"/>
    </row>
    <row r="19" spans="1:14" x14ac:dyDescent="0.35">
      <c r="A19" s="20"/>
      <c r="B19" s="20"/>
      <c r="C19" s="20"/>
      <c r="D19" s="56" t="str">
        <f>[1]Blank42!D238</f>
        <v>Dividend Distribution</v>
      </c>
      <c r="E19" s="43"/>
      <c r="F19" s="68" t="str">
        <f>IF([1]Blank42!F238=0,FIXED(0,0,0),[1]Blank42!F238)</f>
        <v>0</v>
      </c>
      <c r="G19" s="68" t="str">
        <f>IF([1]Blank42!G238=0,FIXED(0,0,0),[1]Blank42!G238)</f>
        <v>0</v>
      </c>
      <c r="H19" s="68" t="str">
        <f>IF([1]Blank42!H238=0,FIXED(0,0,0),[1]Blank42!H238)</f>
        <v>0</v>
      </c>
      <c r="I19" s="68" t="str">
        <f>IF([1]Blank42!I238=0,FIXED(0,0,0),[1]Blank42!I238)</f>
        <v>0</v>
      </c>
      <c r="J19" s="68" t="str">
        <f>IF([1]Blank42!J238=0,FIXED(0,0,0),[1]Blank42!J238)</f>
        <v>0</v>
      </c>
      <c r="K19" s="302"/>
      <c r="L19" s="316"/>
      <c r="M19" s="302"/>
      <c r="N19" s="302"/>
    </row>
    <row r="20" spans="1:14" x14ac:dyDescent="0.35">
      <c r="A20" s="20"/>
      <c r="B20" s="20"/>
      <c r="C20" s="20"/>
      <c r="D20" s="56" t="str">
        <f>[1]Blank42!D239</f>
        <v>S Dividend Gross-Up to Pre-Tax</v>
      </c>
      <c r="E20" s="43"/>
      <c r="F20" s="68" t="str">
        <f>IF([1]Blank42!F239=0,FIXED(0,0,0),[1]Blank42!F239)</f>
        <v>0</v>
      </c>
      <c r="G20" s="68" t="str">
        <f>IF([1]Blank42!G239=0,FIXED(0,0,0),[1]Blank42!G239)</f>
        <v>0</v>
      </c>
      <c r="H20" s="68" t="str">
        <f>IF([1]Blank42!H239=0,FIXED(0,0,0),[1]Blank42!H239)</f>
        <v>0</v>
      </c>
      <c r="I20" s="68" t="str">
        <f>IF([1]Blank42!I239=0,FIXED(0,0,0),[1]Blank42!I239)</f>
        <v>0</v>
      </c>
      <c r="J20" s="68" t="str">
        <f>IF([1]Blank42!J239=0,FIXED(0,0,0),[1]Blank42!J239)</f>
        <v>0</v>
      </c>
      <c r="K20" s="255" t="s">
        <v>89</v>
      </c>
      <c r="L20" s="316"/>
      <c r="M20" s="302"/>
      <c r="N20" s="302"/>
    </row>
    <row r="21" spans="1:14" ht="14.65" x14ac:dyDescent="0.6">
      <c r="A21" s="20"/>
      <c r="B21" s="20"/>
      <c r="C21" s="20"/>
      <c r="D21" s="56" t="str">
        <f>[1]Blank42!D240</f>
        <v>S Undistrbtd Erngs Gross-Up to Pre-Tax</v>
      </c>
      <c r="E21" s="43"/>
      <c r="F21" s="58" t="str">
        <f>IF([1]Blank42!F240=0,FIXED(0,0,0),[1]Blank42!F240)</f>
        <v>n/a</v>
      </c>
      <c r="G21" s="58" t="str">
        <f>IF([1]Blank42!G240=0,FIXED(0,0,0),[1]Blank42!G240)</f>
        <v>n/a</v>
      </c>
      <c r="H21" s="58" t="str">
        <f>IF([1]Blank42!H240=0,FIXED(0,0,0),[1]Blank42!H240)</f>
        <v>n/a</v>
      </c>
      <c r="I21" s="58" t="str">
        <f>IF([1]Blank42!I240=0,FIXED(0,0,0),[1]Blank42!I240)</f>
        <v>n/a</v>
      </c>
      <c r="J21" s="58">
        <f>IF([1]Blank42!J240=0,FIXED(0,0,0),[1]Blank42!J240)</f>
        <v>425.18002007046397</v>
      </c>
      <c r="K21" s="255" t="s">
        <v>89</v>
      </c>
      <c r="L21" s="316"/>
      <c r="M21" s="302"/>
      <c r="N21" s="302"/>
    </row>
    <row r="22" spans="1:14" ht="14.65" x14ac:dyDescent="0.6">
      <c r="A22" s="20"/>
      <c r="B22" s="20"/>
      <c r="C22" s="20"/>
      <c r="D22" s="56"/>
      <c r="E22" s="68"/>
      <c r="F22" s="58">
        <f>IF(SUM(F16:F21)=0,FIXED(0,0,0),SUM(F16:F21))</f>
        <v>-5.68308023225228E-2</v>
      </c>
      <c r="G22" s="58" t="str">
        <f>IF(SUM(G16:G21)=0,FIXED(0,0,0),SUM(G16:G21))</f>
        <v>0</v>
      </c>
      <c r="H22" s="58" t="str">
        <f>IF(SUM(H16:H21)=0,FIXED(0,0,0),SUM(H16:H21))</f>
        <v>0</v>
      </c>
      <c r="I22" s="58" t="str">
        <f>IF(SUM(I16:I21)=0,FIXED(0,0,0),SUM(I16:I21))</f>
        <v>0</v>
      </c>
      <c r="J22" s="58">
        <f>IF(SUM(J16:J21)=0,FIXED(0,0,0),SUM(J16:J21))</f>
        <v>425.18002007046397</v>
      </c>
      <c r="K22" s="302"/>
      <c r="L22" s="257"/>
      <c r="M22" s="302"/>
      <c r="N22" s="302"/>
    </row>
    <row r="23" spans="1:14" ht="6" customHeight="1" x14ac:dyDescent="0.35">
      <c r="A23" s="20"/>
      <c r="B23" s="20"/>
      <c r="C23" s="20"/>
      <c r="D23" s="56"/>
      <c r="E23" s="68"/>
      <c r="F23" s="68"/>
      <c r="G23" s="68"/>
      <c r="H23" s="68"/>
      <c r="I23" s="68"/>
      <c r="J23" s="68"/>
      <c r="K23" s="302"/>
      <c r="L23" s="257"/>
      <c r="M23" s="302"/>
      <c r="N23" s="302"/>
    </row>
    <row r="24" spans="1:14" x14ac:dyDescent="0.35">
      <c r="A24" s="20"/>
      <c r="B24" s="20"/>
      <c r="C24" s="20"/>
      <c r="D24" s="56" t="s">
        <v>90</v>
      </c>
      <c r="E24" s="68"/>
      <c r="F24" s="68">
        <f>IF((F14+F22)=0, FIXED(0,0,0), F14+F22)</f>
        <v>-5.68308023225228E-2</v>
      </c>
      <c r="G24" s="68" t="str">
        <f>IF((G14+G22)=0, FIXED(0,0,0), G14+G22)</f>
        <v>0</v>
      </c>
      <c r="H24" s="68" t="str">
        <f>IF((H14+H22)=0, FIXED(0,0,0), H14+H22)</f>
        <v>0</v>
      </c>
      <c r="I24" s="68" t="str">
        <f>IF((I14+I22)=0, FIXED(0,0,0), I14+I22)</f>
        <v>0</v>
      </c>
      <c r="J24" s="68">
        <f>IF((J14+J22)=0, FIXED(0,0,0), J14+J22)</f>
        <v>3969.1656460765994</v>
      </c>
      <c r="K24" s="302"/>
      <c r="L24" s="257"/>
      <c r="M24" s="302"/>
      <c r="N24" s="302"/>
    </row>
    <row r="25" spans="1:14" ht="12.75" customHeight="1" x14ac:dyDescent="0.6">
      <c r="A25" s="20"/>
      <c r="B25" s="20"/>
      <c r="C25" s="20"/>
      <c r="D25" s="56" t="str">
        <f>[1]Blank42!D242</f>
        <v>Mezzanine Share of Pre-Tax Cash Flow</v>
      </c>
      <c r="E25" s="58" t="s">
        <v>41</v>
      </c>
      <c r="F25" s="58" t="s">
        <v>41</v>
      </c>
      <c r="G25" s="58" t="s">
        <v>41</v>
      </c>
      <c r="H25" s="58" t="s">
        <v>41</v>
      </c>
      <c r="I25" s="58" t="s">
        <v>41</v>
      </c>
      <c r="J25" s="58" t="str">
        <f>IF([1]Blank42!J242=0,FIXED(0,0,0),[1]Blank42!J242)</f>
        <v>0</v>
      </c>
      <c r="K25" s="255" t="s">
        <v>91</v>
      </c>
      <c r="L25" s="257"/>
      <c r="M25" s="302"/>
      <c r="N25" s="302"/>
    </row>
    <row r="26" spans="1:14" ht="13.5" customHeight="1" x14ac:dyDescent="0.45">
      <c r="A26" s="20"/>
      <c r="B26" s="20"/>
      <c r="C26" s="20"/>
      <c r="D26" s="56" t="str">
        <f>[1]Blank42!D243</f>
        <v>Buyer's Pre-Tax Cash Flow</v>
      </c>
      <c r="E26" s="268">
        <f>IF([1]Blank42!E243=0,FIXED(0,0,0),[1]Blank42!E243)</f>
        <v>-885.23785249390869</v>
      </c>
      <c r="F26" s="268">
        <f>IF([1]Blank42!F243=0,FIXED(0,0,0),[1]Blank42!F243)</f>
        <v>-5.68308023225228E-2</v>
      </c>
      <c r="G26" s="268" t="str">
        <f>IF([1]Blank42!G243=0,FIXED(0,0,0),[1]Blank42!G243)</f>
        <v>0</v>
      </c>
      <c r="H26" s="268" t="str">
        <f>IF([1]Blank42!H243=0,FIXED(0,0,0),[1]Blank42!H243)</f>
        <v>0</v>
      </c>
      <c r="I26" s="268" t="str">
        <f>IF([1]Blank42!I243=0,FIXED(0,0,0),[1]Blank42!I243)</f>
        <v>0</v>
      </c>
      <c r="J26" s="268">
        <f>IF([1]Blank42!J243=0,FIXED(0,0,0),[1]Blank42!J243)</f>
        <v>3969.1656460765994</v>
      </c>
      <c r="K26" s="302"/>
      <c r="L26" s="302"/>
      <c r="M26" s="302"/>
      <c r="N26" s="302"/>
    </row>
    <row r="27" spans="1:14" ht="6" customHeight="1" thickBot="1" x14ac:dyDescent="0.4">
      <c r="A27" s="20"/>
      <c r="B27" s="20"/>
      <c r="C27" s="20"/>
      <c r="D27" s="257"/>
      <c r="E27" s="257"/>
      <c r="F27" s="317"/>
      <c r="G27" s="257"/>
      <c r="H27" s="257"/>
      <c r="I27" s="257"/>
      <c r="J27" s="257"/>
      <c r="K27" s="257"/>
      <c r="L27" s="257"/>
      <c r="M27" s="302"/>
      <c r="N27" s="302"/>
    </row>
    <row r="28" spans="1:14" ht="12.75" customHeight="1" thickBot="1" x14ac:dyDescent="0.45">
      <c r="A28" s="20"/>
      <c r="B28" s="20"/>
      <c r="C28" s="318"/>
      <c r="D28" s="319"/>
      <c r="E28" s="320" t="str">
        <f>[1]Blank42!E245</f>
        <v>Buyer's Pre-Tax ROE =</v>
      </c>
      <c r="F28" s="321">
        <f>[1]Blank42!F245</f>
        <v>0.34996876177992742</v>
      </c>
      <c r="G28" s="302"/>
      <c r="H28" s="302"/>
      <c r="I28" s="302"/>
      <c r="J28" s="302"/>
      <c r="K28" s="322" t="str">
        <f ca="1">ROUND(A60,0)&amp;[1]Blank42!O11</f>
        <v>8164150</v>
      </c>
      <c r="L28" s="270" t="str">
        <f>[1]Blank42!$A$9</f>
        <v>BVX®</v>
      </c>
      <c r="M28" s="302"/>
      <c r="N28" s="302"/>
    </row>
    <row r="29" spans="1:14" ht="12" customHeight="1" x14ac:dyDescent="0.4">
      <c r="D29" s="247"/>
      <c r="E29" s="323"/>
      <c r="F29" s="324"/>
      <c r="G29" s="247"/>
      <c r="H29" s="247"/>
      <c r="I29" s="247"/>
      <c r="J29" s="247"/>
      <c r="K29" s="247"/>
      <c r="L29" s="247"/>
    </row>
    <row r="30" spans="1:14" ht="19.5" customHeight="1" x14ac:dyDescent="0.5">
      <c r="D30" s="247"/>
      <c r="E30" s="323"/>
      <c r="F30" s="325" t="str">
        <f>[1]Blank42!F247</f>
        <v>Mezzanine Investor Pre-Tax ROI</v>
      </c>
      <c r="G30" s="247"/>
      <c r="H30" s="247"/>
      <c r="I30" s="247"/>
      <c r="J30" s="247"/>
      <c r="K30" s="247"/>
      <c r="L30" s="247"/>
    </row>
    <row r="31" spans="1:14" ht="6" customHeight="1" x14ac:dyDescent="0.4">
      <c r="D31" s="247"/>
      <c r="E31" s="323"/>
      <c r="F31" s="324"/>
      <c r="G31" s="247"/>
      <c r="H31" s="247"/>
      <c r="I31" s="247"/>
      <c r="J31" s="247"/>
      <c r="K31" s="247"/>
      <c r="L31" s="247"/>
    </row>
    <row r="32" spans="1:14" ht="13.15" x14ac:dyDescent="0.4">
      <c r="A32" s="249"/>
      <c r="B32" s="249"/>
      <c r="C32" s="249"/>
      <c r="D32" s="249"/>
      <c r="E32" s="298" t="str">
        <f>[1]Blank42!E249</f>
        <v>Year0</v>
      </c>
      <c r="F32" s="298" t="str">
        <f>[1]Blank42!F249</f>
        <v>Year1</v>
      </c>
      <c r="G32" s="298" t="str">
        <f>[1]Blank42!G249</f>
        <v>Year2</v>
      </c>
      <c r="H32" s="298" t="str">
        <f>[1]Blank42!H249</f>
        <v>Year3</v>
      </c>
      <c r="I32" s="298" t="str">
        <f>[1]Blank42!I249</f>
        <v>Year4</v>
      </c>
      <c r="J32" s="298" t="str">
        <f>[1]Blank42!J249</f>
        <v>Year5</v>
      </c>
      <c r="K32" s="299"/>
      <c r="L32" s="299"/>
      <c r="M32" s="299"/>
      <c r="N32" s="299"/>
    </row>
    <row r="33" spans="1:14" ht="6" customHeight="1" x14ac:dyDescent="0.35">
      <c r="A33" s="20"/>
      <c r="B33" s="20"/>
      <c r="C33" s="20"/>
      <c r="D33" s="56"/>
      <c r="E33" s="301"/>
      <c r="F33" s="301"/>
      <c r="G33" s="301"/>
      <c r="H33" s="301"/>
      <c r="I33" s="301"/>
      <c r="J33" s="301"/>
      <c r="K33" s="257"/>
      <c r="L33" s="257"/>
      <c r="M33" s="302"/>
      <c r="N33" s="302"/>
    </row>
    <row r="34" spans="1:14" x14ac:dyDescent="0.35">
      <c r="A34" s="20"/>
      <c r="B34" s="20"/>
      <c r="C34" s="20"/>
      <c r="D34" s="56" t="str">
        <f>[1]Blank42!D251</f>
        <v>Mezzanine Financing</v>
      </c>
      <c r="E34" s="68" t="str">
        <f>IF([1]Blank42!E251=0,FIXED(0,0,0),[1]Blank42!E251)</f>
        <v>0</v>
      </c>
      <c r="F34" s="68"/>
      <c r="G34" s="68"/>
      <c r="H34" s="68"/>
      <c r="I34" s="68"/>
      <c r="J34" s="68"/>
      <c r="K34" s="302"/>
      <c r="L34" s="257"/>
      <c r="M34" s="302"/>
      <c r="N34" s="302"/>
    </row>
    <row r="35" spans="1:14" x14ac:dyDescent="0.35">
      <c r="A35" s="20"/>
      <c r="B35" s="20"/>
      <c r="C35" s="20"/>
      <c r="D35" s="56" t="str">
        <f>[1]Blank42!D252</f>
        <v>Interest Exp-Mezzanine Financing</v>
      </c>
      <c r="E35" s="68" t="str">
        <f>IF([1]Blank42!E252=0,FIXED(0,0,0),[1]Blank42!E252)</f>
        <v>n/a</v>
      </c>
      <c r="F35" s="68" t="str">
        <f>IF([1]Blank42!F252=0,FIXED(0,0,0),[1]Blank42!F252)</f>
        <v>0</v>
      </c>
      <c r="G35" s="68" t="str">
        <f>IF([1]Blank42!G252=0,FIXED(0,0,0),[1]Blank42!G252)</f>
        <v>0</v>
      </c>
      <c r="H35" s="68" t="str">
        <f>IF([1]Blank42!H252=0,FIXED(0,0,0),[1]Blank42!H252)</f>
        <v>0</v>
      </c>
      <c r="I35" s="68" t="str">
        <f>IF([1]Blank42!I252=0,FIXED(0,0,0),[1]Blank42!I252)</f>
        <v>0</v>
      </c>
      <c r="J35" s="68" t="str">
        <f>IF([1]Blank42!J252=0,FIXED(0,0,0),[1]Blank42!J252)</f>
        <v>0</v>
      </c>
      <c r="K35" s="302"/>
      <c r="L35" s="257"/>
      <c r="M35" s="302"/>
      <c r="N35" s="302"/>
    </row>
    <row r="36" spans="1:14" x14ac:dyDescent="0.35">
      <c r="A36" s="20"/>
      <c r="B36" s="20"/>
      <c r="C36" s="20"/>
      <c r="D36" s="56" t="str">
        <f>[1]Blank42!D253</f>
        <v>Mezzanine Principal Amortization</v>
      </c>
      <c r="E36" s="68" t="str">
        <f>IF([1]Blank42!E253=0,FIXED(0,0,0),[1]Blank42!E253)</f>
        <v>n/a</v>
      </c>
      <c r="F36" s="68" t="str">
        <f>IF([1]Blank42!F253=0,FIXED(0,0,0),[1]Blank42!F253)</f>
        <v>0</v>
      </c>
      <c r="G36" s="68" t="str">
        <f>IF([1]Blank42!G253=0,FIXED(0,0,0),[1]Blank42!G253)</f>
        <v>0</v>
      </c>
      <c r="H36" s="68" t="str">
        <f>IF([1]Blank42!H253=0,FIXED(0,0,0),[1]Blank42!H253)</f>
        <v>0</v>
      </c>
      <c r="I36" s="68" t="str">
        <f>IF([1]Blank42!I253=0,FIXED(0,0,0),[1]Blank42!I253)</f>
        <v>0</v>
      </c>
      <c r="J36" s="68" t="str">
        <f>IF([1]Blank42!J253=0,FIXED(0,0,0),[1]Blank42!J253)</f>
        <v>0</v>
      </c>
      <c r="K36" s="277"/>
      <c r="L36" s="257"/>
      <c r="M36" s="302"/>
      <c r="N36" s="302"/>
    </row>
    <row r="37" spans="1:14" x14ac:dyDescent="0.35">
      <c r="A37" s="20"/>
      <c r="B37" s="20"/>
      <c r="C37" s="20"/>
      <c r="D37" s="56" t="str">
        <f>[1]Blank42!D254</f>
        <v>Mezzanine Remaining Principal Payment</v>
      </c>
      <c r="E37" s="68" t="str">
        <f>IF([1]Blank42!E254=0,FIXED(0,0,0),[1]Blank42!E254)</f>
        <v>n/a</v>
      </c>
      <c r="F37" s="68" t="str">
        <f>IF([1]Blank42!F254=0,FIXED(0,0,0),[1]Blank42!F254)</f>
        <v>n/a</v>
      </c>
      <c r="G37" s="68" t="str">
        <f>IF([1]Blank42!G254=0,FIXED(0,0,0),[1]Blank42!G254)</f>
        <v>n/a</v>
      </c>
      <c r="H37" s="68" t="str">
        <f>IF([1]Blank42!H254=0,FIXED(0,0,0),[1]Blank42!H254)</f>
        <v>n/a</v>
      </c>
      <c r="I37" s="68" t="str">
        <f>IF([1]Blank42!I254=0,FIXED(0,0,0),[1]Blank42!I254)</f>
        <v>n/a</v>
      </c>
      <c r="J37" s="68" t="str">
        <f>IF([1]Blank42!J254=0,FIXED(0,0,0),[1]Blank42!J254)</f>
        <v>0</v>
      </c>
      <c r="K37" s="277"/>
      <c r="L37" s="257"/>
      <c r="M37" s="302"/>
      <c r="N37" s="302"/>
    </row>
    <row r="38" spans="1:14" ht="14.65" x14ac:dyDescent="0.6">
      <c r="A38" s="20"/>
      <c r="B38" s="20"/>
      <c r="C38" s="20"/>
      <c r="D38" s="56" t="str">
        <f>[1]Blank42!D255</f>
        <v>Mezzanine Share of Pre-Tax Cash Flow</v>
      </c>
      <c r="E38" s="58" t="str">
        <f>IF([1]Blank42!E255=0,FIXED(0,0,0),[1]Blank42!E255)</f>
        <v>n/a</v>
      </c>
      <c r="F38" s="58" t="str">
        <f>IF([1]Blank42!F255=0,FIXED(0,0,0),[1]Blank42!F255)</f>
        <v>n/a</v>
      </c>
      <c r="G38" s="58" t="str">
        <f>IF([1]Blank42!G255=0,FIXED(0,0,0),[1]Blank42!G255)</f>
        <v>n/a</v>
      </c>
      <c r="H38" s="58" t="str">
        <f>IF([1]Blank42!H255=0,FIXED(0,0,0),[1]Blank42!H255)</f>
        <v>n/a</v>
      </c>
      <c r="I38" s="58" t="str">
        <f>IF([1]Blank42!I255=0,FIXED(0,0,0),[1]Blank42!I255)</f>
        <v>n/a</v>
      </c>
      <c r="J38" s="58" t="str">
        <f>IF([1]Blank42!J255=0,FIXED(0,0,0),[1]Blank42!J255)</f>
        <v>0</v>
      </c>
      <c r="K38" s="326" t="str">
        <f>K25</f>
        <v>Value of Mezzanine Warrants</v>
      </c>
      <c r="L38" s="257"/>
      <c r="M38" s="302"/>
      <c r="N38" s="302"/>
    </row>
    <row r="39" spans="1:14" ht="12.75" customHeight="1" x14ac:dyDescent="0.45">
      <c r="A39" s="20"/>
      <c r="B39" s="20"/>
      <c r="C39" s="20"/>
      <c r="D39" s="56" t="str">
        <f>[1]Blank42!D256</f>
        <v>Mezzanine Pre-Tax Cash Flow</v>
      </c>
      <c r="E39" s="268" t="str">
        <f>IF([1]Blank42!E256=0,FIXED(0,0,0),[1]Blank42!E256)</f>
        <v>0</v>
      </c>
      <c r="F39" s="268" t="str">
        <f>IF([1]Blank42!F256=0,FIXED(0,0,0),[1]Blank42!F256)</f>
        <v>0</v>
      </c>
      <c r="G39" s="268" t="str">
        <f>IF([1]Blank42!G256=0,FIXED(0,0,0),[1]Blank42!G256)</f>
        <v>0</v>
      </c>
      <c r="H39" s="268" t="str">
        <f>IF([1]Blank42!H256=0,FIXED(0,0,0),[1]Blank42!H256)</f>
        <v>0</v>
      </c>
      <c r="I39" s="268" t="str">
        <f>IF([1]Blank42!I256=0,FIXED(0,0,0),[1]Blank42!I256)</f>
        <v>0</v>
      </c>
      <c r="J39" s="268" t="str">
        <f>IF([1]Blank42!J256=0,FIXED(0,0,0),[1]Blank42!J256)</f>
        <v>0</v>
      </c>
      <c r="K39" s="302"/>
      <c r="L39" s="327"/>
      <c r="M39" s="302"/>
      <c r="N39" s="302"/>
    </row>
    <row r="40" spans="1:14" ht="6" customHeight="1" x14ac:dyDescent="0.35">
      <c r="A40" s="276"/>
      <c r="B40" s="20"/>
      <c r="C40" s="20"/>
      <c r="D40" s="56"/>
      <c r="E40" s="302"/>
      <c r="F40" s="302"/>
      <c r="G40" s="302"/>
      <c r="H40" s="302"/>
      <c r="I40" s="302"/>
      <c r="J40" s="302"/>
      <c r="K40" s="302"/>
      <c r="L40" s="257"/>
      <c r="M40" s="302"/>
      <c r="N40" s="302"/>
    </row>
    <row r="41" spans="1:14" ht="13.15" x14ac:dyDescent="0.4">
      <c r="A41" s="20"/>
      <c r="B41" s="20"/>
      <c r="C41" s="20"/>
      <c r="D41" s="23" t="str">
        <f>[1]Blank42!D258</f>
        <v xml:space="preserve">Actual Mezzanine Pre-Tax ROI </v>
      </c>
      <c r="E41" s="328">
        <f>[1]Blank42!E258</f>
        <v>0</v>
      </c>
      <c r="F41" s="302"/>
      <c r="G41" s="329"/>
      <c r="H41" s="329"/>
      <c r="I41" s="23" t="str">
        <f>[1]Blank42!I258</f>
        <v>Mezzanine Warrants =</v>
      </c>
      <c r="J41" s="330">
        <f>[1]Blank42!J258</f>
        <v>0</v>
      </c>
      <c r="K41" s="20"/>
      <c r="L41" s="257"/>
      <c r="M41" s="302"/>
      <c r="N41" s="302"/>
    </row>
    <row r="42" spans="1:14" ht="13.15" x14ac:dyDescent="0.4">
      <c r="A42" s="20"/>
      <c r="B42" s="20"/>
      <c r="C42" s="20"/>
      <c r="D42" s="23" t="str">
        <f>[1]Blank42!D259</f>
        <v>Expected MezzaninePre-Tax ROI</v>
      </c>
      <c r="E42" s="331">
        <f>[1]Blank42!E259</f>
        <v>0</v>
      </c>
      <c r="F42" s="302"/>
      <c r="G42" s="302"/>
      <c r="H42" s="302"/>
      <c r="I42" s="302"/>
      <c r="J42" s="302"/>
      <c r="K42" s="302"/>
      <c r="L42" s="257"/>
      <c r="M42" s="302"/>
      <c r="N42" s="302"/>
    </row>
    <row r="60" spans="1:1" x14ac:dyDescent="0.35">
      <c r="A60" s="234">
        <f ca="1">'[1]Valuation 1'!$A$44</f>
        <v>816414.83860721253</v>
      </c>
    </row>
  </sheetData>
  <mergeCells count="1">
    <mergeCell ref="L5:M5"/>
  </mergeCells>
  <pageMargins left="0.75" right="0.75" top="1" bottom="1" header="0.5" footer="0.5"/>
  <pageSetup scale="9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FinRatios 10</vt:lpstr>
      <vt:lpstr>SellerCF 14</vt:lpstr>
      <vt:lpstr>EarnOut 13</vt:lpstr>
      <vt:lpstr>25-Yr Val 12</vt:lpstr>
      <vt:lpstr>Depr 11</vt:lpstr>
      <vt:lpstr>CF Proj 5</vt:lpstr>
      <vt:lpstr>REFinancials 9</vt:lpstr>
      <vt:lpstr>PrAllocation 8</vt:lpstr>
      <vt:lpstr>ROI 7</vt:lpstr>
      <vt:lpstr>CF Stmt 6</vt:lpstr>
      <vt:lpstr>Sheet1</vt:lpstr>
      <vt:lpstr>BalanceSheet 4</vt:lpstr>
      <vt:lpstr>Income 3</vt:lpstr>
      <vt:lpstr>Inputs 2</vt:lpstr>
      <vt:lpstr>Valuation 1</vt:lpstr>
      <vt:lpstr>'25-Yr Val 12'!Print_Area</vt:lpstr>
      <vt:lpstr>'BalanceSheet 4'!Print_Area</vt:lpstr>
      <vt:lpstr>'CF Proj 5'!Print_Area</vt:lpstr>
      <vt:lpstr>'CF Stmt 6'!Print_Area</vt:lpstr>
      <vt:lpstr>'Depr 11'!Print_Area</vt:lpstr>
      <vt:lpstr>'EarnOut 13'!Print_Area</vt:lpstr>
      <vt:lpstr>'FinRatios 10'!Print_Area</vt:lpstr>
      <vt:lpstr>'Income 3'!Print_Area</vt:lpstr>
      <vt:lpstr>'Inputs 2'!Print_Area</vt:lpstr>
      <vt:lpstr>'PrAllocation 8'!Print_Area</vt:lpstr>
      <vt:lpstr>'REFinancials 9'!Print_Area</vt:lpstr>
      <vt:lpstr>'ROI 7'!Print_Area</vt:lpstr>
      <vt:lpstr>'SellerCF 14'!Print_Area</vt:lpstr>
      <vt:lpstr>'Valuation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Business ValueXpress</dc:creator>
  <cp:lastModifiedBy>Business ValueXpress</cp:lastModifiedBy>
  <dcterms:created xsi:type="dcterms:W3CDTF">2021-08-04T19:25:38Z</dcterms:created>
  <dcterms:modified xsi:type="dcterms:W3CDTF">2021-08-04T19:25:40Z</dcterms:modified>
</cp:coreProperties>
</file>