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ther computers\My Laptop II\Budget\2023_24\"/>
    </mc:Choice>
  </mc:AlternateContent>
  <bookViews>
    <workbookView xWindow="0" yWindow="0" windowWidth="20490" windowHeight="8700" activeTab="1"/>
  </bookViews>
  <sheets>
    <sheet name="CA" sheetId="2" r:id="rId1"/>
    <sheet name="CE" sheetId="1" r:id="rId2"/>
  </sheets>
  <definedNames>
    <definedName name="_xlnm.Print_Area" localSheetId="0">CA!$A$1:$T$43</definedName>
    <definedName name="_xlnm.Print_Area" localSheetId="1">CE!$A$1:$O$55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2" l="1"/>
  <c r="M36" i="2"/>
  <c r="M35" i="2"/>
  <c r="T35" i="2" s="1"/>
  <c r="M34" i="2"/>
  <c r="T34" i="2" s="1"/>
  <c r="T37" i="2" s="1"/>
  <c r="F32" i="2"/>
  <c r="S31" i="2"/>
  <c r="Q31" i="2"/>
  <c r="T31" i="2" s="1"/>
  <c r="M31" i="2"/>
  <c r="G31" i="2"/>
  <c r="S30" i="2"/>
  <c r="Q30" i="2"/>
  <c r="T30" i="2" s="1"/>
  <c r="M30" i="2"/>
  <c r="G30" i="2"/>
  <c r="Q29" i="2"/>
  <c r="Q32" i="2" s="1"/>
  <c r="M29" i="2"/>
  <c r="M32" i="2" s="1"/>
  <c r="G29" i="2"/>
  <c r="G32" i="2" s="1"/>
  <c r="Q25" i="2"/>
  <c r="S25" i="2"/>
  <c r="P23" i="2"/>
  <c r="O23" i="2"/>
  <c r="M23" i="2"/>
  <c r="J23" i="2"/>
  <c r="I23" i="2"/>
  <c r="F23" i="2"/>
  <c r="G23" i="2" s="1"/>
  <c r="Q22" i="2"/>
  <c r="M22" i="2"/>
  <c r="J22" i="2"/>
  <c r="P22" i="2" s="1"/>
  <c r="I22" i="2"/>
  <c r="F22" i="2"/>
  <c r="G22" i="2" s="1"/>
  <c r="S22" i="2" s="1"/>
  <c r="S21" i="2"/>
  <c r="Q21" i="2"/>
  <c r="P21" i="2"/>
  <c r="I21" i="2"/>
  <c r="O21" i="2" s="1"/>
  <c r="T21" i="2" s="1"/>
  <c r="Q20" i="2"/>
  <c r="P20" i="2"/>
  <c r="M20" i="2"/>
  <c r="I20" i="2"/>
  <c r="O20" i="2" s="1"/>
  <c r="G20" i="2"/>
  <c r="S20" i="2" s="1"/>
  <c r="T20" i="2" s="1"/>
  <c r="S19" i="2"/>
  <c r="T19" i="2" s="1"/>
  <c r="Q19" i="2"/>
  <c r="P19" i="2"/>
  <c r="O19" i="2"/>
  <c r="I19" i="2"/>
  <c r="S18" i="2"/>
  <c r="T18" i="2" s="1"/>
  <c r="Q18" i="2"/>
  <c r="P18" i="2"/>
  <c r="O18" i="2"/>
  <c r="I18" i="2"/>
  <c r="S17" i="2"/>
  <c r="Q17" i="2"/>
  <c r="P17" i="2"/>
  <c r="I17" i="2"/>
  <c r="O17" i="2" s="1"/>
  <c r="Q16" i="2"/>
  <c r="P16" i="2"/>
  <c r="M15" i="2"/>
  <c r="J15" i="2"/>
  <c r="I15" i="2"/>
  <c r="F15" i="2"/>
  <c r="G15" i="2" s="1"/>
  <c r="Q14" i="2"/>
  <c r="M14" i="2"/>
  <c r="J14" i="2"/>
  <c r="P14" i="2" s="1"/>
  <c r="I14" i="2"/>
  <c r="O14" i="2" s="1"/>
  <c r="F14" i="2"/>
  <c r="G14" i="2" s="1"/>
  <c r="S14" i="2" s="1"/>
  <c r="P13" i="2"/>
  <c r="M13" i="2"/>
  <c r="Q13" i="2" s="1"/>
  <c r="J13" i="2"/>
  <c r="I13" i="2"/>
  <c r="O13" i="2" s="1"/>
  <c r="G13" i="2"/>
  <c r="S13" i="2" s="1"/>
  <c r="T13" i="2" s="1"/>
  <c r="F13" i="2"/>
  <c r="O12" i="2"/>
  <c r="M12" i="2"/>
  <c r="Q12" i="2" s="1"/>
  <c r="J12" i="2"/>
  <c r="P12" i="2" s="1"/>
  <c r="I12" i="2"/>
  <c r="G12" i="2"/>
  <c r="S12" i="2" s="1"/>
  <c r="T12" i="2" s="1"/>
  <c r="F12" i="2"/>
  <c r="P11" i="2"/>
  <c r="O11" i="2"/>
  <c r="M11" i="2"/>
  <c r="J11" i="2"/>
  <c r="I11" i="2"/>
  <c r="F11" i="2"/>
  <c r="G11" i="2" s="1"/>
  <c r="S11" i="2" s="1"/>
  <c r="Q10" i="2"/>
  <c r="M10" i="2"/>
  <c r="J10" i="2"/>
  <c r="P10" i="2" s="1"/>
  <c r="I10" i="2"/>
  <c r="O10" i="2" s="1"/>
  <c r="F10" i="2"/>
  <c r="G10" i="2" s="1"/>
  <c r="S10" i="2" s="1"/>
  <c r="T10" i="2" s="1"/>
  <c r="P9" i="2"/>
  <c r="M9" i="2"/>
  <c r="Q9" i="2" s="1"/>
  <c r="J9" i="2"/>
  <c r="I9" i="2"/>
  <c r="O9" i="2" s="1"/>
  <c r="G9" i="2"/>
  <c r="S9" i="2" s="1"/>
  <c r="T9" i="2" s="1"/>
  <c r="F9" i="2"/>
  <c r="O8" i="2"/>
  <c r="M8" i="2"/>
  <c r="Q8" i="2" s="1"/>
  <c r="J8" i="2"/>
  <c r="P8" i="2" s="1"/>
  <c r="I8" i="2"/>
  <c r="G8" i="2"/>
  <c r="S8" i="2" s="1"/>
  <c r="F8" i="2"/>
  <c r="P7" i="2"/>
  <c r="O7" i="2"/>
  <c r="M7" i="2"/>
  <c r="J7" i="2"/>
  <c r="I7" i="2"/>
  <c r="F7" i="2"/>
  <c r="Q7" i="2" s="1"/>
  <c r="Q6" i="2"/>
  <c r="M6" i="2"/>
  <c r="J6" i="2"/>
  <c r="P6" i="2" s="1"/>
  <c r="I6" i="2"/>
  <c r="O6" i="2" s="1"/>
  <c r="F6" i="2"/>
  <c r="G6" i="2" s="1"/>
  <c r="S6" i="2" s="1"/>
  <c r="L24" i="2"/>
  <c r="N48" i="1"/>
  <c r="O48" i="1" s="1"/>
  <c r="F48" i="1"/>
  <c r="N47" i="1"/>
  <c r="O47" i="1" s="1"/>
  <c r="F47" i="1"/>
  <c r="C47" i="1"/>
  <c r="N46" i="1"/>
  <c r="O46" i="1" s="1"/>
  <c r="F46" i="1"/>
  <c r="F45" i="1"/>
  <c r="N45" i="1" s="1"/>
  <c r="O45" i="1" s="1"/>
  <c r="O43" i="1"/>
  <c r="N43" i="1"/>
  <c r="O42" i="1"/>
  <c r="N42" i="1"/>
  <c r="N41" i="1"/>
  <c r="O41" i="1" s="1"/>
  <c r="O44" i="1" s="1"/>
  <c r="N38" i="1"/>
  <c r="O38" i="1" s="1"/>
  <c r="N37" i="1"/>
  <c r="O37" i="1" s="1"/>
  <c r="F35" i="1"/>
  <c r="O33" i="1"/>
  <c r="N33" i="1"/>
  <c r="F32" i="1"/>
  <c r="N32" i="1" s="1"/>
  <c r="O32" i="1" s="1"/>
  <c r="N31" i="1"/>
  <c r="O31" i="1" s="1"/>
  <c r="F31" i="1"/>
  <c r="F29" i="1"/>
  <c r="N29" i="1" s="1"/>
  <c r="O29" i="1" s="1"/>
  <c r="N28" i="1"/>
  <c r="O28" i="1" s="1"/>
  <c r="F28" i="1"/>
  <c r="F27" i="1"/>
  <c r="N27" i="1" s="1"/>
  <c r="O27" i="1" s="1"/>
  <c r="N26" i="1"/>
  <c r="N25" i="1"/>
  <c r="O25" i="1" s="1"/>
  <c r="L25" i="1"/>
  <c r="F25" i="1"/>
  <c r="E25" i="1"/>
  <c r="L24" i="1"/>
  <c r="E24" i="1"/>
  <c r="L23" i="1"/>
  <c r="F23" i="1"/>
  <c r="N23" i="1" s="1"/>
  <c r="O23" i="1" s="1"/>
  <c r="E23" i="1"/>
  <c r="L22" i="1"/>
  <c r="E22" i="1"/>
  <c r="F22" i="1" s="1"/>
  <c r="N22" i="1" s="1"/>
  <c r="O22" i="1" s="1"/>
  <c r="N21" i="1"/>
  <c r="O21" i="1" s="1"/>
  <c r="F21" i="1"/>
  <c r="L20" i="1"/>
  <c r="N20" i="1" s="1"/>
  <c r="O20" i="1" s="1"/>
  <c r="F20" i="1"/>
  <c r="L19" i="1"/>
  <c r="F19" i="1"/>
  <c r="N19" i="1" s="1"/>
  <c r="O19" i="1" s="1"/>
  <c r="L18" i="1"/>
  <c r="N18" i="1" s="1"/>
  <c r="O18" i="1" s="1"/>
  <c r="F18" i="1"/>
  <c r="L17" i="1"/>
  <c r="F17" i="1"/>
  <c r="N17" i="1" s="1"/>
  <c r="O17" i="1" s="1"/>
  <c r="L16" i="1"/>
  <c r="N16" i="1" s="1"/>
  <c r="O16" i="1" s="1"/>
  <c r="F16" i="1"/>
  <c r="F15" i="1"/>
  <c r="N15" i="1" s="1"/>
  <c r="O15" i="1" s="1"/>
  <c r="L14" i="1"/>
  <c r="F14" i="1"/>
  <c r="N14" i="1" s="1"/>
  <c r="O14" i="1" s="1"/>
  <c r="H13" i="1"/>
  <c r="L13" i="1" s="1"/>
  <c r="N13" i="1" s="1"/>
  <c r="O13" i="1" s="1"/>
  <c r="F13" i="1"/>
  <c r="L12" i="1"/>
  <c r="N12" i="1" s="1"/>
  <c r="O12" i="1" s="1"/>
  <c r="F12" i="1"/>
  <c r="L11" i="1"/>
  <c r="F11" i="1"/>
  <c r="N11" i="1" s="1"/>
  <c r="O11" i="1" s="1"/>
  <c r="N10" i="1"/>
  <c r="O10" i="1" s="1"/>
  <c r="F9" i="1"/>
  <c r="N9" i="1" s="1"/>
  <c r="O9" i="1" s="1"/>
  <c r="N8" i="1"/>
  <c r="O8" i="1" s="1"/>
  <c r="L8" i="1"/>
  <c r="F8" i="1"/>
  <c r="N7" i="1"/>
  <c r="O7" i="1" s="1"/>
  <c r="F6" i="1"/>
  <c r="N6" i="1" s="1"/>
  <c r="O6" i="1" s="1"/>
  <c r="L5" i="1"/>
  <c r="F5" i="1"/>
  <c r="N5" i="1" s="1"/>
  <c r="O5" i="1" s="1"/>
  <c r="T17" i="2" l="1"/>
  <c r="M24" i="2"/>
  <c r="T6" i="2"/>
  <c r="T11" i="2"/>
  <c r="T25" i="2"/>
  <c r="S23" i="2"/>
  <c r="R27" i="2"/>
  <c r="T8" i="2"/>
  <c r="G27" i="2"/>
  <c r="S26" i="2"/>
  <c r="S27" i="2" s="1"/>
  <c r="T14" i="2"/>
  <c r="G7" i="2"/>
  <c r="S7" i="2" s="1"/>
  <c r="T7" i="2" s="1"/>
  <c r="O22" i="2"/>
  <c r="T22" i="2" s="1"/>
  <c r="M27" i="2"/>
  <c r="Q5" i="2"/>
  <c r="T5" i="2" s="1"/>
  <c r="S29" i="2"/>
  <c r="Q11" i="2"/>
  <c r="Q23" i="2"/>
  <c r="F27" i="2"/>
  <c r="C5" i="2"/>
  <c r="C15" i="2" s="1"/>
  <c r="I24" i="2" s="1"/>
  <c r="O52" i="1"/>
  <c r="O26" i="1"/>
  <c r="N24" i="1"/>
  <c r="O24" i="1" s="1"/>
  <c r="O34" i="1"/>
  <c r="O39" i="1"/>
  <c r="O50" i="1" s="1"/>
  <c r="F24" i="1"/>
  <c r="O35" i="1"/>
  <c r="Q24" i="2" l="1"/>
  <c r="Q26" i="2"/>
  <c r="Q27" i="2" s="1"/>
  <c r="N27" i="2"/>
  <c r="F24" i="2"/>
  <c r="E24" i="2"/>
  <c r="S15" i="2"/>
  <c r="P15" i="2"/>
  <c r="P24" i="2" s="1"/>
  <c r="O15" i="2"/>
  <c r="O24" i="2" s="1"/>
  <c r="H24" i="2"/>
  <c r="N24" i="2"/>
  <c r="K24" i="2"/>
  <c r="Q15" i="2"/>
  <c r="G24" i="2"/>
  <c r="S24" i="2"/>
  <c r="T29" i="2"/>
  <c r="T32" i="2" s="1"/>
  <c r="S32" i="2"/>
  <c r="T23" i="2"/>
  <c r="J24" i="2"/>
  <c r="O51" i="1"/>
  <c r="O53" i="1" s="1"/>
  <c r="T15" i="2" l="1"/>
  <c r="T16" i="2" s="1"/>
  <c r="T24" i="2"/>
  <c r="T41" i="2" s="1"/>
  <c r="T42" i="2" s="1"/>
  <c r="T26" i="2"/>
  <c r="T27" i="2" s="1"/>
  <c r="T39" i="2" s="1"/>
  <c r="T40" i="2" s="1"/>
  <c r="T43" i="2" l="1"/>
</calcChain>
</file>

<file path=xl/sharedStrings.xml><?xml version="1.0" encoding="utf-8"?>
<sst xmlns="http://schemas.openxmlformats.org/spreadsheetml/2006/main" count="127" uniqueCount="116">
  <si>
    <t>COUNTY  GOVERNMENT OF  _______NYAMIRA_________________</t>
  </si>
  <si>
    <t>RECURRENT EXPENDITURE : COUNTY EXECUTIVE</t>
  </si>
  <si>
    <t>No. of CECs Members as per Article 179 (3) of the Constitution of Kenya</t>
  </si>
  <si>
    <t>BUDGET CEILING (SRC CIRCULAR REF. NO  SRC/TS/CGOVT/3/61(84)</t>
  </si>
  <si>
    <t>No.</t>
  </si>
  <si>
    <t>Gross Salary</t>
  </si>
  <si>
    <t>Basic Salary</t>
  </si>
  <si>
    <t>Gratuity/Pension</t>
  </si>
  <si>
    <t>Airtime Allowance</t>
  </si>
  <si>
    <t>House Allowance</t>
  </si>
  <si>
    <t>Responsibility Allowance</t>
  </si>
  <si>
    <t>Commutter Allowance</t>
  </si>
  <si>
    <t>Leave allowance</t>
  </si>
  <si>
    <t xml:space="preserve">Other allowances </t>
  </si>
  <si>
    <t>Transport</t>
  </si>
  <si>
    <t xml:space="preserve"> Annual Salary &amp; Allowances per person</t>
  </si>
  <si>
    <t>Total Annual Salary &amp; Allowances for all</t>
  </si>
  <si>
    <t xml:space="preserve">              Governor</t>
  </si>
  <si>
    <t>Governer's Support Staff</t>
  </si>
  <si>
    <t>Security</t>
  </si>
  <si>
    <t xml:space="preserve">              Deputy Governor</t>
  </si>
  <si>
    <t>Deputy Governor's Support Staff</t>
  </si>
  <si>
    <t xml:space="preserve">              County Executive                         Members</t>
  </si>
  <si>
    <t xml:space="preserve">              County Secretary</t>
  </si>
  <si>
    <t xml:space="preserve">              Chief Officers</t>
  </si>
  <si>
    <t xml:space="preserve">              Chief of Staff</t>
  </si>
  <si>
    <t xml:space="preserve">              Advisors</t>
  </si>
  <si>
    <t xml:space="preserve">                            Legal</t>
  </si>
  <si>
    <t xml:space="preserve">                            Economic</t>
  </si>
  <si>
    <t xml:space="preserve">                            Gender</t>
  </si>
  <si>
    <t xml:space="preserve">                            Political</t>
  </si>
  <si>
    <t xml:space="preserve">                            Others </t>
  </si>
  <si>
    <t xml:space="preserve">              CPSB</t>
  </si>
  <si>
    <t xml:space="preserve">                        Chairperson</t>
  </si>
  <si>
    <t xml:space="preserve">                        V Chair</t>
  </si>
  <si>
    <t xml:space="preserve">                         Members</t>
  </si>
  <si>
    <t xml:space="preserve">                         Secretary</t>
  </si>
  <si>
    <t xml:space="preserve">           CPSB Secretariat</t>
  </si>
  <si>
    <t xml:space="preserve">                  Middle level officers</t>
  </si>
  <si>
    <t xml:space="preserve">                 Secretary</t>
  </si>
  <si>
    <t xml:space="preserve">                 Messenger</t>
  </si>
  <si>
    <t>Office of the County Attorney</t>
  </si>
  <si>
    <t>Attorney</t>
  </si>
  <si>
    <t>Solicitor</t>
  </si>
  <si>
    <t>Legal Counsel</t>
  </si>
  <si>
    <t>Total</t>
  </si>
  <si>
    <t>PFM Staff</t>
  </si>
  <si>
    <t>Audit Committee (4 Meetings per Year)</t>
  </si>
  <si>
    <t>Chairperson</t>
  </si>
  <si>
    <t>Member</t>
  </si>
  <si>
    <t>Audit Committee Total</t>
  </si>
  <si>
    <t>County Budget and Economic Forum (8 Meeting per Year)</t>
  </si>
  <si>
    <t>Member- Public Servants</t>
  </si>
  <si>
    <t>Member- Private Sector</t>
  </si>
  <si>
    <t>CBEF Total</t>
  </si>
  <si>
    <t>Ward Administrators</t>
  </si>
  <si>
    <t>Sub County Administrators</t>
  </si>
  <si>
    <t>Deputy Sub County Administrators</t>
  </si>
  <si>
    <t>Village Administrators</t>
  </si>
  <si>
    <t>Insurance</t>
  </si>
  <si>
    <t>Sub Total</t>
  </si>
  <si>
    <t xml:space="preserve">O &amp; M  </t>
  </si>
  <si>
    <t>Training</t>
  </si>
  <si>
    <t>COUNTY GOVERNMENT OF___NYAMIRA______________</t>
  </si>
  <si>
    <t>WARDS</t>
  </si>
  <si>
    <t>RECURRENT EXEPENDITURE- COUNTY ASSEMBLY</t>
  </si>
  <si>
    <t>No. of County Assembly Members</t>
  </si>
  <si>
    <t>Item</t>
  </si>
  <si>
    <t xml:space="preserve">No. </t>
  </si>
  <si>
    <t>Basic Pay</t>
  </si>
  <si>
    <t>Gratuity / Pension</t>
  </si>
  <si>
    <t xml:space="preserve">Airtime Allowance </t>
  </si>
  <si>
    <t>Sitting Allowance-Committee</t>
  </si>
  <si>
    <t>Sitting Allowance- Plenary</t>
  </si>
  <si>
    <t>Car Maitenance Allowance</t>
  </si>
  <si>
    <t>Mileage Allowance</t>
  </si>
  <si>
    <t>Other Allowances</t>
  </si>
  <si>
    <t xml:space="preserve">NSSF </t>
  </si>
  <si>
    <t>Total Annual Committee Allowances</t>
  </si>
  <si>
    <t>Total Annual Sitting Allowances- Plenary</t>
  </si>
  <si>
    <t xml:space="preserve"> Annual Salary &amp; Allowances </t>
  </si>
  <si>
    <t>Leave Allowances</t>
  </si>
  <si>
    <t>Total Gratuity</t>
  </si>
  <si>
    <t xml:space="preserve">              County Assembly Members</t>
  </si>
  <si>
    <t xml:space="preserve">                     Chairpersons</t>
  </si>
  <si>
    <t xml:space="preserve">              Deputy Chairpersons</t>
  </si>
  <si>
    <t xml:space="preserve">                     Leader of Majority</t>
  </si>
  <si>
    <t xml:space="preserve">                     Deputy Majority</t>
  </si>
  <si>
    <t xml:space="preserve">                     Chief whip</t>
  </si>
  <si>
    <t xml:space="preserve">                     Deputy Chief whips</t>
  </si>
  <si>
    <t xml:space="preserve">                     Leader of Minority</t>
  </si>
  <si>
    <t xml:space="preserve">                     Deputy minority</t>
  </si>
  <si>
    <t xml:space="preserve">                    Speaker's Pannel-Members</t>
  </si>
  <si>
    <t xml:space="preserve">                    Members</t>
  </si>
  <si>
    <t xml:space="preserve">             County Assembly Service Board</t>
  </si>
  <si>
    <t xml:space="preserve">                 Chairperson</t>
  </si>
  <si>
    <t xml:space="preserve">                  Deputy Chairperson (Majority)</t>
  </si>
  <si>
    <t xml:space="preserve">                  Member (Minority)</t>
  </si>
  <si>
    <t xml:space="preserve">                  Member-not CA staff/MCA</t>
  </si>
  <si>
    <t xml:space="preserve">                  Secretary</t>
  </si>
  <si>
    <t xml:space="preserve">        Speaker</t>
  </si>
  <si>
    <t xml:space="preserve">        Deputy Speaker</t>
  </si>
  <si>
    <t xml:space="preserve">        County Assembly Staff</t>
  </si>
  <si>
    <t xml:space="preserve">        Ward Staff</t>
  </si>
  <si>
    <t>CASB Secretariat</t>
  </si>
  <si>
    <t>Middle Level Officer</t>
  </si>
  <si>
    <t>Secretary</t>
  </si>
  <si>
    <t>Messenger</t>
  </si>
  <si>
    <t>Audit Committee</t>
  </si>
  <si>
    <t>Vice Chairperson</t>
  </si>
  <si>
    <t>Members</t>
  </si>
  <si>
    <t>Insurance cost</t>
  </si>
  <si>
    <t>TOTAL</t>
  </si>
  <si>
    <t>Traning</t>
  </si>
  <si>
    <t>Public Participation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</si>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</sst>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#,##0_ ;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i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i/>
      <sz val="8"/>
      <color rgb="FF92D05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4"/>
      <color theme="1"/>
      <name val="Garamond"/>
      <family val="1"/>
    </font>
    <font>
      <sz val="20"/>
      <color theme="1"/>
      <name val="Garamond"/>
      <family val="1"/>
    </font>
    <font>
      <b/>
      <sz val="20"/>
      <color theme="1"/>
      <name val="Garamond"/>
      <family val="1"/>
    </font>
    <font>
      <sz val="22"/>
      <color theme="1"/>
      <name val="Garamond"/>
      <family val="1"/>
    </font>
    <font>
      <b/>
      <sz val="21"/>
      <color theme="1"/>
      <name val="Garamond"/>
      <family val="1"/>
    </font>
    <font>
      <sz val="21"/>
      <color theme="1"/>
      <name val="Garamond"/>
      <family val="1"/>
    </font>
    <font>
      <b/>
      <sz val="21"/>
      <color rgb="FFFF0000"/>
      <name val="Garamond"/>
      <family val="1"/>
    </font>
    <font>
      <i/>
      <sz val="22"/>
      <color rgb="FFFF0000"/>
      <name val="Garamond"/>
      <family val="1"/>
    </font>
    <font>
      <b/>
      <i/>
      <sz val="22"/>
      <name val="Garamond"/>
      <family val="1"/>
    </font>
    <font>
      <sz val="22"/>
      <name val="Garamond"/>
      <family val="1"/>
    </font>
    <font>
      <sz val="22"/>
      <color rgb="FF00B050"/>
      <name val="Garamond"/>
      <family val="1"/>
    </font>
    <font>
      <sz val="22"/>
      <color rgb="FFFF0000"/>
      <name val="Garamond"/>
      <family val="1"/>
    </font>
    <font>
      <b/>
      <sz val="22"/>
      <color theme="1"/>
      <name val="Garamond"/>
      <family val="1"/>
    </font>
    <font>
      <b/>
      <sz val="22"/>
      <color rgb="FFFF0000"/>
      <name val="Garamond"/>
      <family val="1"/>
    </font>
    <font>
      <sz val="22"/>
      <color indexed="8"/>
      <name val="Garamond"/>
      <family val="1"/>
    </font>
    <font>
      <b/>
      <sz val="22"/>
      <color indexed="8"/>
      <name val="Garamond"/>
      <family val="1"/>
    </font>
    <font>
      <sz val="20"/>
      <color indexed="8"/>
      <name val="Garamond"/>
      <family val="1"/>
    </font>
    <font>
      <b/>
      <sz val="20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164" fontId="2" fillId="2" borderId="0" xfId="1" applyNumberFormat="1" applyFont="1" applyFill="1" applyAlignment="1"/>
    <xf numFmtId="164" fontId="2" fillId="0" borderId="0" xfId="1" applyNumberFormat="1" applyFont="1" applyAlignment="1"/>
    <xf numFmtId="164" fontId="2" fillId="0" borderId="0" xfId="1" applyNumberFormat="1" applyFont="1"/>
    <xf numFmtId="164" fontId="3" fillId="0" borderId="2" xfId="1" applyNumberFormat="1" applyFont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center" vertical="center"/>
    </xf>
    <xf numFmtId="164" fontId="2" fillId="2" borderId="2" xfId="1" applyNumberFormat="1" applyFont="1" applyFill="1" applyBorder="1" applyAlignment="1">
      <alignment vertical="center"/>
    </xf>
    <xf numFmtId="164" fontId="2" fillId="0" borderId="2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right" vertical="top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 applyAlignment="1">
      <alignment horizontal="right"/>
    </xf>
    <xf numFmtId="164" fontId="2" fillId="3" borderId="2" xfId="1" applyNumberFormat="1" applyFont="1" applyFill="1" applyBorder="1"/>
    <xf numFmtId="164" fontId="2" fillId="3" borderId="2" xfId="1" applyNumberFormat="1" applyFont="1" applyFill="1" applyBorder="1" applyAlignment="1"/>
    <xf numFmtId="164" fontId="2" fillId="0" borderId="2" xfId="1" applyNumberFormat="1" applyFont="1" applyBorder="1" applyAlignment="1"/>
    <xf numFmtId="164" fontId="2" fillId="2" borderId="2" xfId="1" applyNumberFormat="1" applyFont="1" applyFill="1" applyBorder="1" applyAlignment="1"/>
    <xf numFmtId="165" fontId="2" fillId="0" borderId="2" xfId="1" applyNumberFormat="1" applyFont="1" applyBorder="1" applyAlignment="1"/>
    <xf numFmtId="0" fontId="5" fillId="0" borderId="2" xfId="0" applyFont="1" applyBorder="1"/>
    <xf numFmtId="164" fontId="6" fillId="0" borderId="2" xfId="1" applyNumberFormat="1" applyFont="1" applyBorder="1" applyAlignment="1">
      <alignment horizontal="right"/>
    </xf>
    <xf numFmtId="164" fontId="2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/>
    <xf numFmtId="164" fontId="6" fillId="0" borderId="2" xfId="1" applyNumberFormat="1" applyFont="1" applyFill="1" applyBorder="1" applyAlignment="1">
      <alignment horizontal="right"/>
    </xf>
    <xf numFmtId="164" fontId="2" fillId="0" borderId="2" xfId="1" applyNumberFormat="1" applyFont="1" applyFill="1" applyBorder="1"/>
    <xf numFmtId="164" fontId="2" fillId="0" borderId="2" xfId="1" applyNumberFormat="1" applyFont="1" applyFill="1" applyBorder="1" applyAlignment="1"/>
    <xf numFmtId="0" fontId="2" fillId="0" borderId="0" xfId="0" applyFont="1" applyFill="1"/>
    <xf numFmtId="0" fontId="7" fillId="0" borderId="2" xfId="0" applyFont="1" applyBorder="1"/>
    <xf numFmtId="0" fontId="2" fillId="0" borderId="2" xfId="0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8" fillId="0" borderId="2" xfId="0" applyFont="1" applyBorder="1"/>
    <xf numFmtId="166" fontId="2" fillId="0" borderId="2" xfId="1" applyNumberFormat="1" applyFont="1" applyBorder="1" applyAlignment="1">
      <alignment horizontal="right"/>
    </xf>
    <xf numFmtId="166" fontId="2" fillId="0" borderId="2" xfId="1" applyNumberFormat="1" applyFont="1" applyBorder="1"/>
    <xf numFmtId="0" fontId="2" fillId="0" borderId="2" xfId="0" applyFont="1" applyBorder="1" applyAlignment="1">
      <alignment horizontal="right"/>
    </xf>
    <xf numFmtId="164" fontId="2" fillId="0" borderId="0" xfId="0" applyNumberFormat="1" applyFont="1"/>
    <xf numFmtId="0" fontId="9" fillId="0" borderId="2" xfId="0" applyFont="1" applyBorder="1"/>
    <xf numFmtId="164" fontId="7" fillId="0" borderId="2" xfId="1" applyNumberFormat="1" applyFont="1" applyBorder="1" applyAlignment="1">
      <alignment horizontal="left" vertical="center"/>
    </xf>
    <xf numFmtId="0" fontId="2" fillId="4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164" fontId="2" fillId="4" borderId="2" xfId="1" applyNumberFormat="1" applyFont="1" applyFill="1" applyBorder="1" applyAlignment="1"/>
    <xf numFmtId="164" fontId="2" fillId="4" borderId="2" xfId="1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164" fontId="3" fillId="4" borderId="2" xfId="1" applyNumberFormat="1" applyFont="1" applyFill="1" applyBorder="1" applyAlignment="1"/>
    <xf numFmtId="164" fontId="3" fillId="2" borderId="2" xfId="1" applyNumberFormat="1" applyFont="1" applyFill="1" applyBorder="1" applyAlignment="1"/>
    <xf numFmtId="164" fontId="3" fillId="4" borderId="2" xfId="1" applyNumberFormat="1" applyFont="1" applyFill="1" applyBorder="1" applyAlignment="1">
      <alignment horizontal="left" vertical="center"/>
    </xf>
    <xf numFmtId="0" fontId="3" fillId="0" borderId="0" xfId="0" applyFont="1"/>
    <xf numFmtId="0" fontId="9" fillId="0" borderId="2" xfId="0" applyFont="1" applyBorder="1" applyAlignment="1">
      <alignment wrapText="1"/>
    </xf>
    <xf numFmtId="0" fontId="10" fillId="0" borderId="2" xfId="0" applyFont="1" applyBorder="1"/>
    <xf numFmtId="164" fontId="4" fillId="4" borderId="2" xfId="1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164" fontId="10" fillId="0" borderId="2" xfId="1" applyNumberFormat="1" applyFont="1" applyBorder="1" applyAlignment="1"/>
    <xf numFmtId="164" fontId="4" fillId="0" borderId="2" xfId="1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" fontId="10" fillId="3" borderId="2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164" fontId="3" fillId="0" borderId="2" xfId="1" applyNumberFormat="1" applyFont="1" applyBorder="1" applyAlignment="1"/>
    <xf numFmtId="164" fontId="3" fillId="0" borderId="2" xfId="1" applyNumberFormat="1" applyFont="1" applyBorder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164" fontId="7" fillId="0" borderId="2" xfId="1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0" fontId="12" fillId="0" borderId="0" xfId="0" applyFont="1"/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 wrapText="1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2" xfId="0" applyFont="1" applyBorder="1" applyAlignment="1">
      <alignment horizontal="right"/>
    </xf>
    <xf numFmtId="0" fontId="15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0" xfId="0" applyFont="1"/>
    <xf numFmtId="0" fontId="16" fillId="0" borderId="2" xfId="0" applyFont="1" applyBorder="1"/>
    <xf numFmtId="3" fontId="17" fillId="0" borderId="2" xfId="0" applyNumberFormat="1" applyFont="1" applyBorder="1" applyAlignment="1">
      <alignment horizontal="center"/>
    </xf>
    <xf numFmtId="3" fontId="16" fillId="0" borderId="2" xfId="0" applyNumberFormat="1" applyFont="1" applyBorder="1" applyAlignment="1">
      <alignment horizontal="center"/>
    </xf>
    <xf numFmtId="3" fontId="16" fillId="0" borderId="2" xfId="0" applyNumberFormat="1" applyFont="1" applyBorder="1" applyAlignment="1">
      <alignment horizontal="right"/>
    </xf>
    <xf numFmtId="0" fontId="18" fillId="0" borderId="2" xfId="0" applyFont="1" applyBorder="1"/>
    <xf numFmtId="3" fontId="19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right"/>
    </xf>
    <xf numFmtId="164" fontId="14" fillId="0" borderId="2" xfId="1" applyNumberFormat="1" applyFont="1" applyBorder="1" applyAlignment="1">
      <alignment horizontal="right"/>
    </xf>
    <xf numFmtId="3" fontId="12" fillId="0" borderId="0" xfId="0" applyNumberFormat="1" applyFont="1"/>
    <xf numFmtId="0" fontId="14" fillId="0" borderId="2" xfId="0" applyFont="1" applyBorder="1"/>
    <xf numFmtId="3" fontId="21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3" fontId="22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164" fontId="14" fillId="0" borderId="2" xfId="1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4" fontId="20" fillId="0" borderId="2" xfId="1" applyNumberFormat="1" applyFont="1" applyBorder="1" applyAlignment="1">
      <alignment horizontal="center"/>
    </xf>
    <xf numFmtId="0" fontId="23" fillId="0" borderId="2" xfId="0" applyFont="1" applyBorder="1"/>
    <xf numFmtId="164" fontId="24" fillId="0" borderId="2" xfId="1" applyNumberFormat="1" applyFont="1" applyBorder="1" applyAlignment="1">
      <alignment horizontal="center"/>
    </xf>
    <xf numFmtId="3" fontId="24" fillId="0" borderId="2" xfId="0" applyNumberFormat="1" applyFont="1" applyBorder="1" applyAlignment="1">
      <alignment horizontal="right"/>
    </xf>
    <xf numFmtId="3" fontId="23" fillId="0" borderId="2" xfId="0" applyNumberFormat="1" applyFont="1" applyBorder="1" applyAlignment="1">
      <alignment horizontal="right"/>
    </xf>
    <xf numFmtId="0" fontId="23" fillId="0" borderId="2" xfId="0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164" fontId="23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3" fontId="14" fillId="0" borderId="2" xfId="0" applyNumberFormat="1" applyFont="1" applyBorder="1" applyAlignment="1">
      <alignment horizontal="left" vertical="center"/>
    </xf>
    <xf numFmtId="164" fontId="14" fillId="0" borderId="2" xfId="1" applyNumberFormat="1" applyFont="1" applyBorder="1" applyAlignment="1">
      <alignment horizontal="left" vertical="center"/>
    </xf>
    <xf numFmtId="165" fontId="14" fillId="0" borderId="2" xfId="1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3" fontId="25" fillId="0" borderId="2" xfId="0" applyNumberFormat="1" applyFont="1" applyBorder="1" applyAlignment="1">
      <alignment horizontal="left" vertical="center"/>
    </xf>
    <xf numFmtId="164" fontId="25" fillId="0" borderId="2" xfId="1" applyNumberFormat="1" applyFont="1" applyBorder="1" applyAlignment="1">
      <alignment horizontal="left" vertical="center"/>
    </xf>
    <xf numFmtId="164" fontId="26" fillId="0" borderId="2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4" fillId="0" borderId="2" xfId="0" applyFont="1" applyBorder="1"/>
    <xf numFmtId="164" fontId="24" fillId="0" borderId="2" xfId="1" applyNumberFormat="1" applyFont="1" applyBorder="1"/>
    <xf numFmtId="0" fontId="28" fillId="0" borderId="0" xfId="0" applyFont="1"/>
    <xf numFmtId="164" fontId="14" fillId="0" borderId="2" xfId="1" applyNumberFormat="1" applyFont="1" applyBorder="1"/>
    <xf numFmtId="165" fontId="14" fillId="0" borderId="2" xfId="1" applyNumberFormat="1" applyFont="1" applyBorder="1"/>
    <xf numFmtId="164" fontId="23" fillId="0" borderId="2" xfId="1" applyNumberFormat="1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43"/>
  <sheetViews>
    <sheetView view="pageBreakPreview" zoomScale="40" zoomScaleNormal="100" zoomScaleSheetLayoutView="40" workbookViewId="0">
      <pane xSplit="3" ySplit="4" topLeftCell="J35" activePane="bottomRight" state="frozen"/>
      <selection activeCell="T43" sqref="T43"/>
      <selection pane="topRight" activeCell="T43" sqref="T43"/>
      <selection pane="bottomLeft" activeCell="T43" sqref="T43"/>
      <selection pane="bottomRight" activeCell="C41" sqref="C41"/>
    </sheetView>
  </sheetViews>
  <sheetFormatPr defaultColWidth="9.1796875" defaultRowHeight="26" x14ac:dyDescent="0.6"/>
  <cols>
    <col min="1" max="1" width="7.81640625" style="83" customWidth="1"/>
    <col min="2" max="2" width="74" style="83" customWidth="1"/>
    <col min="3" max="4" width="16.54296875" style="83" customWidth="1"/>
    <col min="5" max="5" width="26.26953125" style="83" customWidth="1"/>
    <col min="6" max="6" width="30.1796875" style="83" customWidth="1"/>
    <col min="7" max="7" width="28.1796875" style="83" customWidth="1"/>
    <col min="8" max="8" width="25.81640625" style="83" customWidth="1"/>
    <col min="9" max="11" width="26.26953125" style="83" customWidth="1"/>
    <col min="12" max="12" width="24.54296875" style="83" customWidth="1"/>
    <col min="13" max="13" width="25" style="83" customWidth="1"/>
    <col min="14" max="14" width="20.26953125" style="83" customWidth="1"/>
    <col min="15" max="16" width="28.453125" style="83" customWidth="1"/>
    <col min="17" max="19" width="27.54296875" style="83" customWidth="1"/>
    <col min="20" max="20" width="27.7265625" style="83" bestFit="1" customWidth="1"/>
    <col min="21" max="16384" width="9.1796875" style="83"/>
  </cols>
  <sheetData>
    <row r="1" spans="1:21" ht="60.75" customHeight="1" x14ac:dyDescent="0.6">
      <c r="A1" s="139" t="s">
        <v>63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</row>
    <row r="2" spans="1:21" ht="60.75" customHeight="1" x14ac:dyDescent="0.6">
      <c r="A2" s="84"/>
      <c r="B2" s="85" t="s">
        <v>64</v>
      </c>
      <c r="C2" s="84">
        <v>20</v>
      </c>
      <c r="D2" s="139" t="s">
        <v>65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</row>
    <row r="3" spans="1:21" s="90" customFormat="1" ht="48" customHeight="1" x14ac:dyDescent="0.35">
      <c r="A3" s="86">
        <v>1</v>
      </c>
      <c r="B3" s="87" t="s">
        <v>66</v>
      </c>
      <c r="C3" s="88">
        <v>35</v>
      </c>
      <c r="D3" s="88"/>
      <c r="E3" s="88"/>
      <c r="F3" s="88"/>
      <c r="G3" s="88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s="96" customFormat="1" ht="146.25" customHeight="1" x14ac:dyDescent="0.6">
      <c r="A4" s="91"/>
      <c r="B4" s="92" t="s">
        <v>67</v>
      </c>
      <c r="C4" s="93" t="s">
        <v>68</v>
      </c>
      <c r="D4" s="93"/>
      <c r="E4" s="93" t="s">
        <v>5</v>
      </c>
      <c r="F4" s="93" t="s">
        <v>69</v>
      </c>
      <c r="G4" s="93" t="s">
        <v>70</v>
      </c>
      <c r="H4" s="93" t="s">
        <v>71</v>
      </c>
      <c r="I4" s="93" t="s">
        <v>72</v>
      </c>
      <c r="J4" s="93" t="s">
        <v>73</v>
      </c>
      <c r="K4" s="93" t="s">
        <v>74</v>
      </c>
      <c r="L4" s="93" t="s">
        <v>75</v>
      </c>
      <c r="M4" s="93" t="s">
        <v>76</v>
      </c>
      <c r="N4" s="93" t="s">
        <v>77</v>
      </c>
      <c r="O4" s="93" t="s">
        <v>78</v>
      </c>
      <c r="P4" s="93" t="s">
        <v>79</v>
      </c>
      <c r="Q4" s="94" t="s">
        <v>80</v>
      </c>
      <c r="R4" s="94" t="s">
        <v>81</v>
      </c>
      <c r="S4" s="94" t="s">
        <v>82</v>
      </c>
      <c r="T4" s="95" t="s">
        <v>45</v>
      </c>
    </row>
    <row r="5" spans="1:21" ht="48.75" customHeight="1" x14ac:dyDescent="0.6">
      <c r="A5" s="142"/>
      <c r="B5" s="97" t="s">
        <v>83</v>
      </c>
      <c r="C5" s="98">
        <f>C3</f>
        <v>35</v>
      </c>
      <c r="D5" s="98"/>
      <c r="E5" s="98"/>
      <c r="F5" s="99"/>
      <c r="G5" s="99"/>
      <c r="H5" s="99"/>
      <c r="I5" s="99"/>
      <c r="J5" s="99"/>
      <c r="K5" s="99"/>
      <c r="L5" s="99">
        <v>1079307</v>
      </c>
      <c r="M5" s="99"/>
      <c r="N5" s="99"/>
      <c r="O5" s="100"/>
      <c r="P5" s="100"/>
      <c r="Q5" s="100">
        <f>L5*12</f>
        <v>12951684</v>
      </c>
      <c r="R5" s="100"/>
      <c r="S5" s="100"/>
      <c r="T5" s="100">
        <f>Q5</f>
        <v>12951684</v>
      </c>
    </row>
    <row r="6" spans="1:21" ht="48.75" customHeight="1" x14ac:dyDescent="0.65">
      <c r="A6" s="143"/>
      <c r="B6" s="101" t="s">
        <v>84</v>
      </c>
      <c r="C6" s="102">
        <v>14</v>
      </c>
      <c r="D6" s="102"/>
      <c r="E6" s="103">
        <v>144375</v>
      </c>
      <c r="F6" s="104">
        <f>0.6*E6</f>
        <v>86625</v>
      </c>
      <c r="G6" s="104">
        <f t="shared" ref="G6:G15" si="0">0.31*F6</f>
        <v>26853.75</v>
      </c>
      <c r="H6" s="104">
        <v>5000</v>
      </c>
      <c r="I6" s="105">
        <f>4*4*6500</f>
        <v>104000</v>
      </c>
      <c r="J6" s="105">
        <f>16*0</f>
        <v>0</v>
      </c>
      <c r="K6" s="105">
        <v>30167</v>
      </c>
      <c r="L6" s="104"/>
      <c r="M6" s="104">
        <f>(0.4*E6)+26000</f>
        <v>83750</v>
      </c>
      <c r="N6" s="104">
        <v>200</v>
      </c>
      <c r="O6" s="104">
        <f t="shared" ref="O6:O15" si="1">I6*12*C6</f>
        <v>17472000</v>
      </c>
      <c r="P6" s="104">
        <f t="shared" ref="P6:P23" si="2">J6*C6*12</f>
        <v>0</v>
      </c>
      <c r="Q6" s="104">
        <f>(F6+H6+M6+N6+K6)*12*C6</f>
        <v>34564656</v>
      </c>
      <c r="R6" s="104"/>
      <c r="S6" s="104">
        <f>C6*G6*12</f>
        <v>4511430</v>
      </c>
      <c r="T6" s="104">
        <f>S6+Q6+O6+P6</f>
        <v>56548086</v>
      </c>
      <c r="U6" s="106"/>
    </row>
    <row r="7" spans="1:21" ht="48.75" customHeight="1" x14ac:dyDescent="0.65">
      <c r="A7" s="143"/>
      <c r="B7" s="101" t="s">
        <v>85</v>
      </c>
      <c r="C7" s="102">
        <v>8</v>
      </c>
      <c r="D7" s="102"/>
      <c r="E7" s="103">
        <v>144375</v>
      </c>
      <c r="F7" s="104">
        <f t="shared" ref="F7:F15" si="3">0.6*E7</f>
        <v>86625</v>
      </c>
      <c r="G7" s="104">
        <f t="shared" si="0"/>
        <v>26853.75</v>
      </c>
      <c r="H7" s="104">
        <v>5000</v>
      </c>
      <c r="I7" s="105">
        <f>4*4*5200</f>
        <v>83200</v>
      </c>
      <c r="J7" s="105">
        <f>16*0</f>
        <v>0</v>
      </c>
      <c r="K7" s="105">
        <v>30167</v>
      </c>
      <c r="L7" s="104"/>
      <c r="M7" s="104">
        <f>(0.4*E7)+23000</f>
        <v>80750</v>
      </c>
      <c r="N7" s="104">
        <v>200</v>
      </c>
      <c r="O7" s="104">
        <f t="shared" si="1"/>
        <v>7987200</v>
      </c>
      <c r="P7" s="104">
        <f t="shared" si="2"/>
        <v>0</v>
      </c>
      <c r="Q7" s="104">
        <f t="shared" ref="Q7:Q22" si="4">(F7+H7+M7+N7+K7)*12*C7</f>
        <v>19463232</v>
      </c>
      <c r="R7" s="104"/>
      <c r="S7" s="104">
        <f t="shared" ref="S7:S15" si="5">C7*G7*12</f>
        <v>2577960</v>
      </c>
      <c r="T7" s="104">
        <f>S7+Q7+O7+P7</f>
        <v>30028392</v>
      </c>
      <c r="U7" s="106"/>
    </row>
    <row r="8" spans="1:21" ht="48.75" customHeight="1" x14ac:dyDescent="0.65">
      <c r="A8" s="143"/>
      <c r="B8" s="101" t="s">
        <v>86</v>
      </c>
      <c r="C8" s="102">
        <v>1</v>
      </c>
      <c r="D8" s="102"/>
      <c r="E8" s="103">
        <v>144375</v>
      </c>
      <c r="F8" s="104">
        <f t="shared" si="3"/>
        <v>86625</v>
      </c>
      <c r="G8" s="104">
        <f t="shared" si="0"/>
        <v>26853.75</v>
      </c>
      <c r="H8" s="104">
        <v>5000</v>
      </c>
      <c r="I8" s="105">
        <f t="shared" ref="I8:I13" si="6">4*4*5200</f>
        <v>83200</v>
      </c>
      <c r="J8" s="105">
        <f t="shared" ref="J8:J13" si="7">16*0</f>
        <v>0</v>
      </c>
      <c r="K8" s="105">
        <v>30167</v>
      </c>
      <c r="L8" s="104"/>
      <c r="M8" s="104">
        <f>(0.4*E8)+32000</f>
        <v>89750</v>
      </c>
      <c r="N8" s="104">
        <v>200</v>
      </c>
      <c r="O8" s="104">
        <f t="shared" si="1"/>
        <v>998400</v>
      </c>
      <c r="P8" s="104">
        <f t="shared" si="2"/>
        <v>0</v>
      </c>
      <c r="Q8" s="104">
        <f t="shared" si="4"/>
        <v>2540904</v>
      </c>
      <c r="R8" s="104"/>
      <c r="S8" s="104">
        <f t="shared" si="5"/>
        <v>322245</v>
      </c>
      <c r="T8" s="104">
        <f t="shared" ref="T8:T15" si="8">S8+Q8+O8+P8</f>
        <v>3861549</v>
      </c>
      <c r="U8" s="106"/>
    </row>
    <row r="9" spans="1:21" ht="48.75" customHeight="1" x14ac:dyDescent="0.65">
      <c r="A9" s="143"/>
      <c r="B9" s="101" t="s">
        <v>87</v>
      </c>
      <c r="C9" s="102">
        <v>1</v>
      </c>
      <c r="D9" s="102"/>
      <c r="E9" s="103">
        <v>144375</v>
      </c>
      <c r="F9" s="104">
        <f t="shared" si="3"/>
        <v>86625</v>
      </c>
      <c r="G9" s="104">
        <f t="shared" si="0"/>
        <v>26853.75</v>
      </c>
      <c r="H9" s="104">
        <v>5000</v>
      </c>
      <c r="I9" s="105">
        <f t="shared" si="6"/>
        <v>83200</v>
      </c>
      <c r="J9" s="105">
        <f t="shared" si="7"/>
        <v>0</v>
      </c>
      <c r="K9" s="105">
        <v>30167</v>
      </c>
      <c r="L9" s="104"/>
      <c r="M9" s="104">
        <f>(0.4*E9)+29000</f>
        <v>86750</v>
      </c>
      <c r="N9" s="104">
        <v>200</v>
      </c>
      <c r="O9" s="104">
        <f t="shared" si="1"/>
        <v>998400</v>
      </c>
      <c r="P9" s="104">
        <f t="shared" si="2"/>
        <v>0</v>
      </c>
      <c r="Q9" s="104">
        <f t="shared" si="4"/>
        <v>2504904</v>
      </c>
      <c r="R9" s="104"/>
      <c r="S9" s="104">
        <f t="shared" si="5"/>
        <v>322245</v>
      </c>
      <c r="T9" s="104">
        <f t="shared" si="8"/>
        <v>3825549</v>
      </c>
      <c r="U9" s="106"/>
    </row>
    <row r="10" spans="1:21" ht="48.75" customHeight="1" x14ac:dyDescent="0.65">
      <c r="A10" s="143"/>
      <c r="B10" s="101" t="s">
        <v>88</v>
      </c>
      <c r="C10" s="102">
        <v>2</v>
      </c>
      <c r="D10" s="102"/>
      <c r="E10" s="103">
        <v>144375</v>
      </c>
      <c r="F10" s="104">
        <f t="shared" si="3"/>
        <v>86625</v>
      </c>
      <c r="G10" s="104">
        <f t="shared" si="0"/>
        <v>26853.75</v>
      </c>
      <c r="H10" s="104">
        <v>5000</v>
      </c>
      <c r="I10" s="105">
        <f t="shared" si="6"/>
        <v>83200</v>
      </c>
      <c r="J10" s="105">
        <f t="shared" si="7"/>
        <v>0</v>
      </c>
      <c r="K10" s="105">
        <v>30167</v>
      </c>
      <c r="L10" s="104"/>
      <c r="M10" s="104">
        <f>(0.4*E10)+29000</f>
        <v>86750</v>
      </c>
      <c r="N10" s="104">
        <v>200</v>
      </c>
      <c r="O10" s="104">
        <f t="shared" si="1"/>
        <v>1996800</v>
      </c>
      <c r="P10" s="104">
        <f t="shared" si="2"/>
        <v>0</v>
      </c>
      <c r="Q10" s="104">
        <f t="shared" si="4"/>
        <v>5009808</v>
      </c>
      <c r="R10" s="104"/>
      <c r="S10" s="104">
        <f t="shared" si="5"/>
        <v>644490</v>
      </c>
      <c r="T10" s="104">
        <f t="shared" si="8"/>
        <v>7651098</v>
      </c>
      <c r="U10" s="106"/>
    </row>
    <row r="11" spans="1:21" ht="48.75" customHeight="1" x14ac:dyDescent="0.65">
      <c r="A11" s="143"/>
      <c r="B11" s="101" t="s">
        <v>89</v>
      </c>
      <c r="C11" s="102">
        <v>2</v>
      </c>
      <c r="D11" s="102"/>
      <c r="E11" s="103">
        <v>144375</v>
      </c>
      <c r="F11" s="104">
        <f t="shared" si="3"/>
        <v>86625</v>
      </c>
      <c r="G11" s="104">
        <f t="shared" si="0"/>
        <v>26853.75</v>
      </c>
      <c r="H11" s="104">
        <v>5000</v>
      </c>
      <c r="I11" s="105">
        <f t="shared" si="6"/>
        <v>83200</v>
      </c>
      <c r="J11" s="105">
        <f t="shared" si="7"/>
        <v>0</v>
      </c>
      <c r="K11" s="105">
        <v>30167</v>
      </c>
      <c r="L11" s="104"/>
      <c r="M11" s="104">
        <f>(0.4*E11)+26000</f>
        <v>83750</v>
      </c>
      <c r="N11" s="104">
        <v>200</v>
      </c>
      <c r="O11" s="104">
        <f t="shared" si="1"/>
        <v>1996800</v>
      </c>
      <c r="P11" s="104">
        <f t="shared" si="2"/>
        <v>0</v>
      </c>
      <c r="Q11" s="104">
        <f t="shared" si="4"/>
        <v>4937808</v>
      </c>
      <c r="R11" s="104"/>
      <c r="S11" s="104">
        <f t="shared" si="5"/>
        <v>644490</v>
      </c>
      <c r="T11" s="104">
        <f t="shared" si="8"/>
        <v>7579098</v>
      </c>
      <c r="U11" s="106"/>
    </row>
    <row r="12" spans="1:21" ht="48.75" customHeight="1" x14ac:dyDescent="0.65">
      <c r="A12" s="143"/>
      <c r="B12" s="101" t="s">
        <v>90</v>
      </c>
      <c r="C12" s="102">
        <v>1</v>
      </c>
      <c r="D12" s="102"/>
      <c r="E12" s="103">
        <v>144375</v>
      </c>
      <c r="F12" s="104">
        <f t="shared" si="3"/>
        <v>86625</v>
      </c>
      <c r="G12" s="104">
        <f t="shared" si="0"/>
        <v>26853.75</v>
      </c>
      <c r="H12" s="104">
        <v>5000</v>
      </c>
      <c r="I12" s="105">
        <f t="shared" si="6"/>
        <v>83200</v>
      </c>
      <c r="J12" s="105">
        <f t="shared" si="7"/>
        <v>0</v>
      </c>
      <c r="K12" s="105">
        <v>30167</v>
      </c>
      <c r="L12" s="104"/>
      <c r="M12" s="104">
        <f>(0.4*E12)+32000</f>
        <v>89750</v>
      </c>
      <c r="N12" s="104">
        <v>200</v>
      </c>
      <c r="O12" s="104">
        <f t="shared" si="1"/>
        <v>998400</v>
      </c>
      <c r="P12" s="104">
        <f t="shared" si="2"/>
        <v>0</v>
      </c>
      <c r="Q12" s="104">
        <f t="shared" si="4"/>
        <v>2540904</v>
      </c>
      <c r="R12" s="104"/>
      <c r="S12" s="104">
        <f t="shared" si="5"/>
        <v>322245</v>
      </c>
      <c r="T12" s="104">
        <f t="shared" si="8"/>
        <v>3861549</v>
      </c>
      <c r="U12" s="106"/>
    </row>
    <row r="13" spans="1:21" ht="48.75" customHeight="1" x14ac:dyDescent="0.65">
      <c r="A13" s="143"/>
      <c r="B13" s="101" t="s">
        <v>91</v>
      </c>
      <c r="C13" s="102">
        <v>1</v>
      </c>
      <c r="D13" s="102"/>
      <c r="E13" s="103">
        <v>144375</v>
      </c>
      <c r="F13" s="104">
        <f t="shared" si="3"/>
        <v>86625</v>
      </c>
      <c r="G13" s="104">
        <f t="shared" si="0"/>
        <v>26853.75</v>
      </c>
      <c r="H13" s="104">
        <v>5000</v>
      </c>
      <c r="I13" s="105">
        <f t="shared" si="6"/>
        <v>83200</v>
      </c>
      <c r="J13" s="105">
        <f t="shared" si="7"/>
        <v>0</v>
      </c>
      <c r="K13" s="105">
        <v>30167</v>
      </c>
      <c r="L13" s="104"/>
      <c r="M13" s="104">
        <f>(0.4*E13)+29000</f>
        <v>86750</v>
      </c>
      <c r="N13" s="104">
        <v>200</v>
      </c>
      <c r="O13" s="104">
        <f t="shared" si="1"/>
        <v>998400</v>
      </c>
      <c r="P13" s="104">
        <f t="shared" si="2"/>
        <v>0</v>
      </c>
      <c r="Q13" s="104">
        <f t="shared" si="4"/>
        <v>2504904</v>
      </c>
      <c r="R13" s="104"/>
      <c r="S13" s="104">
        <f t="shared" si="5"/>
        <v>322245</v>
      </c>
      <c r="T13" s="104">
        <f t="shared" si="8"/>
        <v>3825549</v>
      </c>
      <c r="U13" s="106"/>
    </row>
    <row r="14" spans="1:21" ht="48.75" customHeight="1" x14ac:dyDescent="0.65">
      <c r="A14" s="143"/>
      <c r="B14" s="101" t="s">
        <v>92</v>
      </c>
      <c r="C14" s="102">
        <v>3</v>
      </c>
      <c r="D14" s="102"/>
      <c r="E14" s="103">
        <v>144375</v>
      </c>
      <c r="F14" s="104">
        <f t="shared" si="3"/>
        <v>86625</v>
      </c>
      <c r="G14" s="104">
        <f t="shared" si="0"/>
        <v>26853.75</v>
      </c>
      <c r="H14" s="104">
        <v>5000</v>
      </c>
      <c r="I14" s="105">
        <f t="shared" ref="I14:I15" si="9">4*4*3900</f>
        <v>62400</v>
      </c>
      <c r="J14" s="105">
        <f>16*0</f>
        <v>0</v>
      </c>
      <c r="K14" s="105">
        <v>30167</v>
      </c>
      <c r="L14" s="104"/>
      <c r="M14" s="104">
        <f>(0.4*E14)+20000</f>
        <v>77750</v>
      </c>
      <c r="N14" s="104">
        <v>200</v>
      </c>
      <c r="O14" s="104">
        <f t="shared" si="1"/>
        <v>2246400</v>
      </c>
      <c r="P14" s="104">
        <f t="shared" si="2"/>
        <v>0</v>
      </c>
      <c r="Q14" s="104">
        <f t="shared" si="4"/>
        <v>7190712</v>
      </c>
      <c r="R14" s="104"/>
      <c r="S14" s="104">
        <f t="shared" si="5"/>
        <v>966735</v>
      </c>
      <c r="T14" s="104">
        <f t="shared" si="8"/>
        <v>10403847</v>
      </c>
      <c r="U14" s="106"/>
    </row>
    <row r="15" spans="1:21" ht="48.75" customHeight="1" x14ac:dyDescent="0.65">
      <c r="A15" s="143"/>
      <c r="B15" s="101" t="s">
        <v>93</v>
      </c>
      <c r="C15" s="102">
        <f>C5-(C6+C7+C8+C9+C10+C11+C12+C13+C14+C23)</f>
        <v>1</v>
      </c>
      <c r="D15" s="102"/>
      <c r="E15" s="103">
        <v>144375</v>
      </c>
      <c r="F15" s="104">
        <f t="shared" si="3"/>
        <v>86625</v>
      </c>
      <c r="G15" s="104">
        <f t="shared" si="0"/>
        <v>26853.75</v>
      </c>
      <c r="H15" s="104">
        <v>5000</v>
      </c>
      <c r="I15" s="105">
        <f t="shared" si="9"/>
        <v>62400</v>
      </c>
      <c r="J15" s="105">
        <f>16*0</f>
        <v>0</v>
      </c>
      <c r="K15" s="105">
        <v>30167</v>
      </c>
      <c r="L15" s="104"/>
      <c r="M15" s="104">
        <f>0.4*E15</f>
        <v>57750</v>
      </c>
      <c r="N15" s="104">
        <v>200</v>
      </c>
      <c r="O15" s="104">
        <f t="shared" si="1"/>
        <v>748800</v>
      </c>
      <c r="P15" s="104">
        <f t="shared" si="2"/>
        <v>0</v>
      </c>
      <c r="Q15" s="104">
        <f t="shared" si="4"/>
        <v>2156904</v>
      </c>
      <c r="R15" s="104"/>
      <c r="S15" s="104">
        <f t="shared" si="5"/>
        <v>322245</v>
      </c>
      <c r="T15" s="104">
        <f t="shared" si="8"/>
        <v>3227949</v>
      </c>
      <c r="U15" s="106"/>
    </row>
    <row r="16" spans="1:21" ht="48.75" customHeight="1" x14ac:dyDescent="0.65">
      <c r="A16" s="143"/>
      <c r="B16" s="107" t="s">
        <v>94</v>
      </c>
      <c r="C16" s="108"/>
      <c r="D16" s="108"/>
      <c r="E16" s="108"/>
      <c r="F16" s="104"/>
      <c r="G16" s="104"/>
      <c r="H16" s="104"/>
      <c r="I16" s="105"/>
      <c r="J16" s="105"/>
      <c r="K16" s="105"/>
      <c r="L16" s="109"/>
      <c r="M16" s="109"/>
      <c r="N16" s="109"/>
      <c r="O16" s="104"/>
      <c r="P16" s="104">
        <f t="shared" si="2"/>
        <v>0</v>
      </c>
      <c r="Q16" s="104">
        <f t="shared" si="4"/>
        <v>0</v>
      </c>
      <c r="R16" s="104"/>
      <c r="S16" s="104"/>
      <c r="T16" s="110">
        <f>SUM(T6:T15)</f>
        <v>130812666</v>
      </c>
    </row>
    <row r="17" spans="1:21" ht="48.75" customHeight="1" x14ac:dyDescent="0.65">
      <c r="A17" s="143"/>
      <c r="B17" s="101" t="s">
        <v>95</v>
      </c>
      <c r="C17" s="109">
        <v>1</v>
      </c>
      <c r="D17" s="109"/>
      <c r="E17" s="109"/>
      <c r="F17" s="105"/>
      <c r="G17" s="105"/>
      <c r="H17" s="105"/>
      <c r="I17" s="105">
        <f>12000*8</f>
        <v>96000</v>
      </c>
      <c r="J17" s="105"/>
      <c r="K17" s="105"/>
      <c r="L17" s="109"/>
      <c r="M17" s="109"/>
      <c r="N17" s="109"/>
      <c r="O17" s="104">
        <f t="shared" ref="O17:O23" si="10">I17*12*C17</f>
        <v>1152000</v>
      </c>
      <c r="P17" s="104">
        <f t="shared" si="2"/>
        <v>0</v>
      </c>
      <c r="Q17" s="104">
        <f t="shared" si="4"/>
        <v>0</v>
      </c>
      <c r="R17" s="104"/>
      <c r="S17" s="104">
        <f t="shared" ref="S17:S22" si="11">G17*12*C17</f>
        <v>0</v>
      </c>
      <c r="T17" s="104">
        <f>S17+Q17+O17+P17</f>
        <v>1152000</v>
      </c>
      <c r="U17" s="106"/>
    </row>
    <row r="18" spans="1:21" ht="48.75" customHeight="1" x14ac:dyDescent="0.65">
      <c r="A18" s="143"/>
      <c r="B18" s="101" t="s">
        <v>96</v>
      </c>
      <c r="C18" s="109">
        <v>1</v>
      </c>
      <c r="D18" s="109"/>
      <c r="E18" s="109"/>
      <c r="F18" s="105"/>
      <c r="G18" s="105"/>
      <c r="H18" s="105"/>
      <c r="I18" s="105">
        <f>10000*8</f>
        <v>80000</v>
      </c>
      <c r="J18" s="105"/>
      <c r="K18" s="105"/>
      <c r="L18" s="109"/>
      <c r="M18" s="109"/>
      <c r="N18" s="109"/>
      <c r="O18" s="104">
        <f t="shared" si="10"/>
        <v>960000</v>
      </c>
      <c r="P18" s="104">
        <f t="shared" si="2"/>
        <v>0</v>
      </c>
      <c r="Q18" s="104">
        <f t="shared" si="4"/>
        <v>0</v>
      </c>
      <c r="R18" s="104"/>
      <c r="S18" s="104">
        <f t="shared" si="11"/>
        <v>0</v>
      </c>
      <c r="T18" s="104">
        <f t="shared" ref="T18:T23" si="12">S18+Q18+O18+P18</f>
        <v>960000</v>
      </c>
      <c r="U18" s="106"/>
    </row>
    <row r="19" spans="1:21" ht="48.75" customHeight="1" x14ac:dyDescent="0.65">
      <c r="A19" s="143"/>
      <c r="B19" s="101" t="s">
        <v>97</v>
      </c>
      <c r="C19" s="109">
        <v>1</v>
      </c>
      <c r="D19" s="109"/>
      <c r="E19" s="109"/>
      <c r="F19" s="105"/>
      <c r="G19" s="105"/>
      <c r="H19" s="105"/>
      <c r="I19" s="105">
        <f>8*8000</f>
        <v>64000</v>
      </c>
      <c r="J19" s="105"/>
      <c r="K19" s="105"/>
      <c r="L19" s="109"/>
      <c r="M19" s="109"/>
      <c r="N19" s="109"/>
      <c r="O19" s="104">
        <f t="shared" si="10"/>
        <v>768000</v>
      </c>
      <c r="P19" s="104">
        <f t="shared" si="2"/>
        <v>0</v>
      </c>
      <c r="Q19" s="104">
        <f t="shared" si="4"/>
        <v>0</v>
      </c>
      <c r="R19" s="104"/>
      <c r="S19" s="104">
        <f t="shared" si="11"/>
        <v>0</v>
      </c>
      <c r="T19" s="104">
        <f t="shared" si="12"/>
        <v>768000</v>
      </c>
      <c r="U19" s="106"/>
    </row>
    <row r="20" spans="1:21" ht="48.75" customHeight="1" x14ac:dyDescent="0.65">
      <c r="A20" s="143"/>
      <c r="B20" s="101" t="s">
        <v>98</v>
      </c>
      <c r="C20" s="109">
        <v>2</v>
      </c>
      <c r="D20" s="109"/>
      <c r="E20" s="109"/>
      <c r="F20" s="105">
        <v>145000</v>
      </c>
      <c r="G20" s="105">
        <f>0.31*F20</f>
        <v>44950</v>
      </c>
      <c r="H20" s="105">
        <v>4000</v>
      </c>
      <c r="I20" s="105">
        <f>8000*8</f>
        <v>64000</v>
      </c>
      <c r="J20" s="105"/>
      <c r="K20" s="105"/>
      <c r="L20" s="109"/>
      <c r="M20" s="104">
        <f>10000*8+20000</f>
        <v>100000</v>
      </c>
      <c r="N20" s="104"/>
      <c r="O20" s="104">
        <f t="shared" si="10"/>
        <v>1536000</v>
      </c>
      <c r="P20" s="104">
        <f t="shared" si="2"/>
        <v>0</v>
      </c>
      <c r="Q20" s="104">
        <f t="shared" si="4"/>
        <v>5976000</v>
      </c>
      <c r="R20" s="104"/>
      <c r="S20" s="104">
        <f t="shared" si="11"/>
        <v>1078800</v>
      </c>
      <c r="T20" s="104">
        <f t="shared" si="12"/>
        <v>8590800</v>
      </c>
      <c r="U20" s="106"/>
    </row>
    <row r="21" spans="1:21" ht="48.75" customHeight="1" x14ac:dyDescent="0.65">
      <c r="A21" s="143"/>
      <c r="B21" s="101" t="s">
        <v>99</v>
      </c>
      <c r="C21" s="109">
        <v>1</v>
      </c>
      <c r="D21" s="109"/>
      <c r="E21" s="109"/>
      <c r="F21" s="105"/>
      <c r="G21" s="105"/>
      <c r="H21" s="104"/>
      <c r="I21" s="105">
        <f>8000*8</f>
        <v>64000</v>
      </c>
      <c r="J21" s="105"/>
      <c r="K21" s="105"/>
      <c r="L21" s="109"/>
      <c r="M21" s="109"/>
      <c r="N21" s="109"/>
      <c r="O21" s="104">
        <f t="shared" si="10"/>
        <v>768000</v>
      </c>
      <c r="P21" s="104">
        <f t="shared" si="2"/>
        <v>0</v>
      </c>
      <c r="Q21" s="104">
        <f t="shared" si="4"/>
        <v>0</v>
      </c>
      <c r="R21" s="104"/>
      <c r="S21" s="104">
        <f t="shared" si="11"/>
        <v>0</v>
      </c>
      <c r="T21" s="104">
        <f t="shared" si="12"/>
        <v>768000</v>
      </c>
      <c r="U21" s="106"/>
    </row>
    <row r="22" spans="1:21" ht="48.75" customHeight="1" x14ac:dyDescent="0.65">
      <c r="A22" s="143"/>
      <c r="B22" s="107" t="s">
        <v>100</v>
      </c>
      <c r="C22" s="111">
        <v>1</v>
      </c>
      <c r="D22" s="111"/>
      <c r="E22" s="112">
        <v>525525</v>
      </c>
      <c r="F22" s="105">
        <f>0.6*E22</f>
        <v>315315</v>
      </c>
      <c r="G22" s="104">
        <f>0.31*F22</f>
        <v>97747.65</v>
      </c>
      <c r="H22" s="104">
        <v>10000</v>
      </c>
      <c r="I22" s="105">
        <f>4*4*6500</f>
        <v>104000</v>
      </c>
      <c r="J22" s="105">
        <f>16*0</f>
        <v>0</v>
      </c>
      <c r="K22" s="105"/>
      <c r="L22" s="111"/>
      <c r="M22" s="104">
        <f>0.4*E22</f>
        <v>210210</v>
      </c>
      <c r="N22" s="104">
        <v>200</v>
      </c>
      <c r="O22" s="104">
        <f t="shared" si="10"/>
        <v>1248000</v>
      </c>
      <c r="P22" s="104">
        <f t="shared" si="2"/>
        <v>0</v>
      </c>
      <c r="Q22" s="104">
        <f t="shared" si="4"/>
        <v>6428700</v>
      </c>
      <c r="R22" s="104"/>
      <c r="S22" s="104">
        <f t="shared" si="11"/>
        <v>1172971.7999999998</v>
      </c>
      <c r="T22" s="104">
        <f t="shared" si="12"/>
        <v>8849671.8000000007</v>
      </c>
      <c r="U22" s="106"/>
    </row>
    <row r="23" spans="1:21" ht="48.75" customHeight="1" x14ac:dyDescent="0.65">
      <c r="A23" s="143"/>
      <c r="B23" s="107" t="s">
        <v>101</v>
      </c>
      <c r="C23" s="113">
        <v>1</v>
      </c>
      <c r="D23" s="113"/>
      <c r="E23" s="114">
        <v>216563</v>
      </c>
      <c r="F23" s="104">
        <f>0.6*E23</f>
        <v>129937.79999999999</v>
      </c>
      <c r="G23" s="104">
        <f>0.31*F23</f>
        <v>40280.717999999993</v>
      </c>
      <c r="H23" s="104">
        <v>5000</v>
      </c>
      <c r="I23" s="105">
        <f>4*4*6500</f>
        <v>104000</v>
      </c>
      <c r="J23" s="105">
        <f>16*0</f>
        <v>0</v>
      </c>
      <c r="K23" s="105">
        <v>30167</v>
      </c>
      <c r="L23" s="111"/>
      <c r="M23" s="105">
        <f>0.4*E23</f>
        <v>86625.200000000012</v>
      </c>
      <c r="N23" s="104">
        <v>200</v>
      </c>
      <c r="O23" s="104">
        <f t="shared" si="10"/>
        <v>1248000</v>
      </c>
      <c r="P23" s="104">
        <f t="shared" si="2"/>
        <v>0</v>
      </c>
      <c r="Q23" s="104">
        <f>(F23+H23+M23+N23+K23)*12*C23</f>
        <v>3023160</v>
      </c>
      <c r="R23" s="104"/>
      <c r="S23" s="104">
        <f>(G23*12*C23)</f>
        <v>483368.61599999992</v>
      </c>
      <c r="T23" s="104">
        <f t="shared" si="12"/>
        <v>4754528.6160000004</v>
      </c>
      <c r="U23" s="106"/>
    </row>
    <row r="24" spans="1:21" s="96" customFormat="1" ht="48.75" customHeight="1" x14ac:dyDescent="0.65">
      <c r="A24" s="143"/>
      <c r="B24" s="115" t="s">
        <v>60</v>
      </c>
      <c r="C24" s="113"/>
      <c r="D24" s="113"/>
      <c r="E24" s="116">
        <f>(E23*$C$23)+(E22*$C$22)+(E21*$C$21)+(E20*$C$20)+(E19*$C$19)+(E18*$C$18)+(E17*$C$17)+(E15*$C$15)+(E14*$C$14)+(E13*$C$13)+(E12*$C$12)+(E11*$C$11)+(E10*$C$10)+(E9*$C$9)+(E8*$C$8)+(E7*$C$7)+(E6*$C$6)</f>
        <v>5650838</v>
      </c>
      <c r="F24" s="117">
        <f>(F23*$C$23)+(F22*$C$22)+(F21*$C$21)+(F20*$C$20)+(F19*$C$19)+(F18*$C$18)+(F17*$C$17)+(F15*$C$15)+(F14*$C$14)+(F13*$C$13)+(F12*$C$12)+(F11*$C$11)+(F10*$C$10)+(F9*$C$9)+(F8*$C$8)+(F7*$C$7)+(F6*$C$6)</f>
        <v>3680502.8</v>
      </c>
      <c r="G24" s="117">
        <f t="shared" ref="G24:K24" si="13">(G23*$C$23)+(G22*$C$22)+(G21*$C$21)+(G20*$C$20)+(G19*$C$19)+(G18*$C$18)+(G17*$C$17)+(G15*$C$15)+(G14*$C$14)+(G13*$C$13)+(G12*$C$12)+(G11*$C$11)+(G10*$C$10)+(G9*$C$9)+(G8*$C$8)+(G7*$C$7)+(G6*$C$6)</f>
        <v>1140955.868</v>
      </c>
      <c r="H24" s="117">
        <f t="shared" si="13"/>
        <v>193000</v>
      </c>
      <c r="I24" s="117">
        <f t="shared" si="13"/>
        <v>3676800</v>
      </c>
      <c r="J24" s="117">
        <f t="shared" si="13"/>
        <v>0</v>
      </c>
      <c r="K24" s="117">
        <f t="shared" si="13"/>
        <v>1055845</v>
      </c>
      <c r="L24" s="118">
        <f>L5</f>
        <v>1079307</v>
      </c>
      <c r="M24" s="118">
        <f>(M23*$C$23)+(M22*$C$22)+(M21*$C$21)+(M20*$C$20)+(M19*$C$19)+(M18*$C$18)+(M17*$C$17)+(M15*$C$15)+(M14*$C$14)+(M13*$C$13)+(M12*$C$12)+(M11*$C$11)+(M10*$C$10)+(M9*$C$9)+(M8*$C$8)+(M7*$C$7)+(M6*$C$6)</f>
        <v>3300335.2</v>
      </c>
      <c r="N24" s="118">
        <f>(N23*$C$23)+(N22*$C$22)+(N21*$C$21)+(N20*$C$20)+(N19*$C$19)+(N18*$C$18)+(N17*$C$17)+(N15*$C$15)+(N14*$C$14)+(N13*$C$13)+(N12*$C$12)+(N11*$C$11)+(N10*$C$10)+(N9*$C$9)+(N8*$C$8)+(N7*$C$7)+(N6*$C$6)</f>
        <v>7200</v>
      </c>
      <c r="O24" s="118">
        <f>SUM(O6:O23)</f>
        <v>44121600</v>
      </c>
      <c r="P24" s="118">
        <f>SUM(P6:P23)</f>
        <v>0</v>
      </c>
      <c r="Q24" s="118">
        <f>SUM(Q6:Q23)</f>
        <v>98842596</v>
      </c>
      <c r="R24" s="118"/>
      <c r="S24" s="118">
        <f>SUM(S6:S23)</f>
        <v>13691470.416000001</v>
      </c>
      <c r="T24" s="118">
        <f>T23+T22+T21+T20+T19+T18+T17+T16+T5</f>
        <v>169607350.41600001</v>
      </c>
    </row>
    <row r="25" spans="1:21" ht="48.75" customHeight="1" x14ac:dyDescent="0.65">
      <c r="A25" s="143"/>
      <c r="B25" s="107" t="s">
        <v>102</v>
      </c>
      <c r="C25" s="111">
        <v>97</v>
      </c>
      <c r="D25" s="111"/>
      <c r="E25" s="111"/>
      <c r="F25" s="105">
        <v>7732770</v>
      </c>
      <c r="G25" s="104">
        <v>1159915.5</v>
      </c>
      <c r="H25" s="105"/>
      <c r="I25" s="111"/>
      <c r="J25" s="111"/>
      <c r="K25" s="111"/>
      <c r="L25" s="112"/>
      <c r="M25" s="112">
        <v>3940625</v>
      </c>
      <c r="N25" s="112">
        <v>104760</v>
      </c>
      <c r="O25" s="104"/>
      <c r="P25" s="104"/>
      <c r="Q25" s="104">
        <f>(N25+M25+F25)*12</f>
        <v>141337860</v>
      </c>
      <c r="R25" s="104">
        <v>664000</v>
      </c>
      <c r="S25" s="104">
        <f>G25*12</f>
        <v>13918986</v>
      </c>
      <c r="T25" s="104">
        <f>S25+Q25+R25</f>
        <v>155920846</v>
      </c>
    </row>
    <row r="26" spans="1:21" ht="48.75" customHeight="1" x14ac:dyDescent="0.65">
      <c r="A26" s="143"/>
      <c r="B26" s="107" t="s">
        <v>103</v>
      </c>
      <c r="C26" s="111">
        <v>3</v>
      </c>
      <c r="D26" s="111"/>
      <c r="E26" s="111"/>
      <c r="F26" s="105">
        <v>2000250</v>
      </c>
      <c r="G26" s="104">
        <v>620077.5</v>
      </c>
      <c r="H26" s="105"/>
      <c r="I26" s="111"/>
      <c r="J26" s="111"/>
      <c r="K26" s="111"/>
      <c r="L26" s="112"/>
      <c r="M26" s="112">
        <v>787500</v>
      </c>
      <c r="N26" s="112">
        <v>113400</v>
      </c>
      <c r="O26" s="104"/>
      <c r="P26" s="104"/>
      <c r="Q26" s="104">
        <f>(N26+M26+F26)*12</f>
        <v>34813800</v>
      </c>
      <c r="R26" s="104">
        <v>420000</v>
      </c>
      <c r="S26" s="104">
        <f>G26*12</f>
        <v>7440930</v>
      </c>
      <c r="T26" s="104">
        <f>S26+Q26+R26</f>
        <v>42674730</v>
      </c>
    </row>
    <row r="27" spans="1:21" s="122" customFormat="1" ht="48.75" customHeight="1" x14ac:dyDescent="0.35">
      <c r="A27" s="143"/>
      <c r="B27" s="119" t="s">
        <v>60</v>
      </c>
      <c r="C27" s="120"/>
      <c r="D27" s="120"/>
      <c r="E27" s="120"/>
      <c r="F27" s="121">
        <f>F26+F25</f>
        <v>9733020</v>
      </c>
      <c r="G27" s="121">
        <f t="shared" ref="G27:N27" si="14">G26+G25</f>
        <v>1779993</v>
      </c>
      <c r="H27" s="121"/>
      <c r="I27" s="121"/>
      <c r="J27" s="121"/>
      <c r="K27" s="121"/>
      <c r="L27" s="121"/>
      <c r="M27" s="121">
        <f t="shared" si="14"/>
        <v>4728125</v>
      </c>
      <c r="N27" s="121">
        <f t="shared" si="14"/>
        <v>218160</v>
      </c>
      <c r="O27" s="121"/>
      <c r="P27" s="121"/>
      <c r="Q27" s="121">
        <f>Q26+Q25</f>
        <v>176151660</v>
      </c>
      <c r="R27" s="121">
        <f>R25+R26</f>
        <v>1084000</v>
      </c>
      <c r="S27" s="121">
        <f>SUM(S25:S26)</f>
        <v>21359916</v>
      </c>
      <c r="T27" s="121">
        <f>T26+T25</f>
        <v>198595576</v>
      </c>
    </row>
    <row r="28" spans="1:21" s="122" customFormat="1" ht="48.75" customHeight="1" x14ac:dyDescent="0.35">
      <c r="A28" s="143"/>
      <c r="B28" s="123" t="s">
        <v>104</v>
      </c>
      <c r="C28" s="120"/>
      <c r="D28" s="120"/>
      <c r="E28" s="120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</row>
    <row r="29" spans="1:21" s="122" customFormat="1" ht="48.75" customHeight="1" x14ac:dyDescent="0.35">
      <c r="A29" s="143"/>
      <c r="B29" s="124" t="s">
        <v>105</v>
      </c>
      <c r="C29" s="125">
        <v>1</v>
      </c>
      <c r="D29" s="125"/>
      <c r="E29" s="125"/>
      <c r="F29" s="126">
        <v>65120</v>
      </c>
      <c r="G29" s="126">
        <f>0.15*F29</f>
        <v>9768</v>
      </c>
      <c r="H29" s="126"/>
      <c r="I29" s="126"/>
      <c r="J29" s="126"/>
      <c r="K29" s="126"/>
      <c r="L29" s="126"/>
      <c r="M29" s="126">
        <f>20000+8000</f>
        <v>28000</v>
      </c>
      <c r="N29" s="126"/>
      <c r="O29" s="126"/>
      <c r="P29" s="126"/>
      <c r="Q29" s="126">
        <f>(F29+M29)*12</f>
        <v>1117440</v>
      </c>
      <c r="R29" s="126"/>
      <c r="S29" s="127">
        <f>G29*12</f>
        <v>117216</v>
      </c>
      <c r="T29" s="126">
        <f>Q29+S29</f>
        <v>1234656</v>
      </c>
    </row>
    <row r="30" spans="1:21" s="122" customFormat="1" ht="48.75" customHeight="1" x14ac:dyDescent="0.35">
      <c r="A30" s="143"/>
      <c r="B30" s="124" t="s">
        <v>106</v>
      </c>
      <c r="C30" s="125">
        <v>1</v>
      </c>
      <c r="D30" s="125"/>
      <c r="E30" s="125"/>
      <c r="F30" s="126">
        <v>49000</v>
      </c>
      <c r="G30" s="126">
        <f t="shared" ref="G30:G31" si="15">0.15*F30</f>
        <v>7350</v>
      </c>
      <c r="H30" s="126"/>
      <c r="I30" s="126"/>
      <c r="J30" s="126"/>
      <c r="K30" s="126"/>
      <c r="L30" s="126"/>
      <c r="M30" s="126">
        <f>20000+16000</f>
        <v>36000</v>
      </c>
      <c r="N30" s="126"/>
      <c r="O30" s="126"/>
      <c r="P30" s="126"/>
      <c r="Q30" s="126">
        <f>(F30+M30)*12</f>
        <v>1020000</v>
      </c>
      <c r="R30" s="126"/>
      <c r="S30" s="127">
        <f>G30*12</f>
        <v>88200</v>
      </c>
      <c r="T30" s="126">
        <f>Q30+S30</f>
        <v>1108200</v>
      </c>
    </row>
    <row r="31" spans="1:21" s="122" customFormat="1" ht="48.75" customHeight="1" x14ac:dyDescent="0.35">
      <c r="A31" s="143"/>
      <c r="B31" s="124" t="s">
        <v>107</v>
      </c>
      <c r="C31" s="125">
        <v>1</v>
      </c>
      <c r="D31" s="125"/>
      <c r="E31" s="125"/>
      <c r="F31" s="126">
        <v>18270</v>
      </c>
      <c r="G31" s="126">
        <f t="shared" si="15"/>
        <v>2740.5</v>
      </c>
      <c r="H31" s="126"/>
      <c r="I31" s="126"/>
      <c r="J31" s="126"/>
      <c r="K31" s="126"/>
      <c r="L31" s="126"/>
      <c r="M31" s="126">
        <f>3500+3000</f>
        <v>6500</v>
      </c>
      <c r="N31" s="126"/>
      <c r="O31" s="126"/>
      <c r="P31" s="126"/>
      <c r="Q31" s="126">
        <f>(F31+M31)*12</f>
        <v>297240</v>
      </c>
      <c r="R31" s="126"/>
      <c r="S31" s="127">
        <f>G31*12</f>
        <v>32886</v>
      </c>
      <c r="T31" s="126">
        <f>Q31+S31</f>
        <v>330126</v>
      </c>
    </row>
    <row r="32" spans="1:21" s="122" customFormat="1" ht="48.75" customHeight="1" x14ac:dyDescent="0.35">
      <c r="A32" s="143"/>
      <c r="B32" s="119" t="s">
        <v>60</v>
      </c>
      <c r="C32" s="120"/>
      <c r="D32" s="120"/>
      <c r="E32" s="120"/>
      <c r="F32" s="121">
        <f>SUM(F29:F31)</f>
        <v>132390</v>
      </c>
      <c r="G32" s="121">
        <f>SUM(G29:G31)</f>
        <v>19858.5</v>
      </c>
      <c r="H32" s="121"/>
      <c r="I32" s="121"/>
      <c r="J32" s="121"/>
      <c r="K32" s="121"/>
      <c r="L32" s="121"/>
      <c r="M32" s="121">
        <f>SUM(M29:M31)</f>
        <v>70500</v>
      </c>
      <c r="N32" s="121"/>
      <c r="O32" s="121"/>
      <c r="P32" s="121"/>
      <c r="Q32" s="121">
        <f>SUM(Q29:Q31)</f>
        <v>2434680</v>
      </c>
      <c r="R32" s="121"/>
      <c r="S32" s="121">
        <f>SUM(S29:S31)</f>
        <v>238302</v>
      </c>
      <c r="T32" s="121">
        <f>SUM(T29:T31)</f>
        <v>2672982</v>
      </c>
    </row>
    <row r="33" spans="1:20" s="122" customFormat="1" ht="48.75" customHeight="1" x14ac:dyDescent="0.35">
      <c r="A33" s="143"/>
      <c r="B33" s="128" t="s">
        <v>108</v>
      </c>
      <c r="C33" s="120"/>
      <c r="D33" s="120"/>
      <c r="E33" s="120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</row>
    <row r="34" spans="1:20" s="122" customFormat="1" ht="48.75" customHeight="1" x14ac:dyDescent="0.35">
      <c r="A34" s="143"/>
      <c r="B34" s="124" t="s">
        <v>48</v>
      </c>
      <c r="C34" s="129">
        <v>1</v>
      </c>
      <c r="D34" s="129">
        <v>4</v>
      </c>
      <c r="E34" s="129"/>
      <c r="F34" s="121"/>
      <c r="G34" s="121"/>
      <c r="H34" s="121"/>
      <c r="I34" s="130">
        <v>6500</v>
      </c>
      <c r="J34" s="130"/>
      <c r="K34" s="130"/>
      <c r="L34" s="121"/>
      <c r="M34" s="121">
        <f>20000</f>
        <v>20000</v>
      </c>
      <c r="N34" s="121"/>
      <c r="O34" s="121"/>
      <c r="P34" s="121"/>
      <c r="Q34" s="121"/>
      <c r="R34" s="121"/>
      <c r="S34" s="121"/>
      <c r="T34" s="126">
        <f>(C34*D34*I34)+(C34*D34*M34)</f>
        <v>106000</v>
      </c>
    </row>
    <row r="35" spans="1:20" s="122" customFormat="1" ht="48.75" customHeight="1" x14ac:dyDescent="0.35">
      <c r="A35" s="143"/>
      <c r="B35" s="124" t="s">
        <v>109</v>
      </c>
      <c r="C35" s="129">
        <v>1</v>
      </c>
      <c r="D35" s="129">
        <v>4</v>
      </c>
      <c r="E35" s="129"/>
      <c r="F35" s="121"/>
      <c r="G35" s="121"/>
      <c r="H35" s="121"/>
      <c r="I35" s="130">
        <v>5200</v>
      </c>
      <c r="J35" s="130"/>
      <c r="K35" s="130"/>
      <c r="L35" s="121"/>
      <c r="M35" s="121">
        <f>20000</f>
        <v>20000</v>
      </c>
      <c r="N35" s="121"/>
      <c r="O35" s="121"/>
      <c r="P35" s="121"/>
      <c r="Q35" s="121"/>
      <c r="R35" s="121"/>
      <c r="S35" s="121"/>
      <c r="T35" s="126">
        <f>(C35*D35*I35)+(C35*D35*M35)</f>
        <v>100800</v>
      </c>
    </row>
    <row r="36" spans="1:20" s="122" customFormat="1" ht="48.75" customHeight="1" x14ac:dyDescent="0.35">
      <c r="A36" s="143"/>
      <c r="B36" s="124" t="s">
        <v>110</v>
      </c>
      <c r="C36" s="129">
        <v>5</v>
      </c>
      <c r="D36" s="129">
        <v>4</v>
      </c>
      <c r="E36" s="129"/>
      <c r="F36" s="121"/>
      <c r="G36" s="121"/>
      <c r="H36" s="121"/>
      <c r="I36" s="130">
        <v>3900</v>
      </c>
      <c r="J36" s="130"/>
      <c r="K36" s="130"/>
      <c r="L36" s="121"/>
      <c r="M36" s="121">
        <f>20000</f>
        <v>20000</v>
      </c>
      <c r="N36" s="121"/>
      <c r="O36" s="121"/>
      <c r="P36" s="121"/>
      <c r="Q36" s="121"/>
      <c r="R36" s="121"/>
      <c r="S36" s="121"/>
      <c r="T36" s="126">
        <f>(C36*D36*I36)+(C36*D36*M36)</f>
        <v>478000</v>
      </c>
    </row>
    <row r="37" spans="1:20" s="122" customFormat="1" ht="48.75" customHeight="1" x14ac:dyDescent="0.35">
      <c r="A37" s="143"/>
      <c r="B37" s="119" t="s">
        <v>50</v>
      </c>
      <c r="C37" s="120"/>
      <c r="D37" s="120"/>
      <c r="E37" s="120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>
        <f>SUM(T34:T36)</f>
        <v>684800</v>
      </c>
    </row>
    <row r="38" spans="1:20" s="132" customFormat="1" ht="48.75" customHeight="1" x14ac:dyDescent="0.35">
      <c r="A38" s="143"/>
      <c r="B38" s="124" t="s">
        <v>111</v>
      </c>
      <c r="C38" s="129"/>
      <c r="D38" s="129"/>
      <c r="E38" s="129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1">
        <v>21242364.412850469</v>
      </c>
    </row>
    <row r="39" spans="1:20" s="135" customFormat="1" ht="48.75" customHeight="1" x14ac:dyDescent="0.65">
      <c r="A39" s="143"/>
      <c r="B39" s="133" t="s">
        <v>112</v>
      </c>
      <c r="C39" s="133"/>
      <c r="D39" s="133"/>
      <c r="E39" s="133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>
        <f>T27+T24+T38+T37+T32</f>
        <v>392803072.82885051</v>
      </c>
    </row>
    <row r="40" spans="1:20" ht="48.75" customHeight="1" x14ac:dyDescent="0.65">
      <c r="A40" s="143"/>
      <c r="B40" s="119" t="s">
        <v>61</v>
      </c>
      <c r="C40" s="107"/>
      <c r="D40" s="107"/>
      <c r="E40" s="107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>
        <f>(30/70)*T39</f>
        <v>168344174.06950736</v>
      </c>
    </row>
    <row r="41" spans="1:20" ht="48.75" customHeight="1" x14ac:dyDescent="0.65">
      <c r="A41" s="143"/>
      <c r="B41" s="115" t="s">
        <v>113</v>
      </c>
      <c r="C41" s="107"/>
      <c r="D41" s="107"/>
      <c r="E41" s="107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>
        <f>ROUND((T24+T37)*0.1,0)</f>
        <v>17029215</v>
      </c>
    </row>
    <row r="42" spans="1:20" ht="48.75" customHeight="1" x14ac:dyDescent="0.65">
      <c r="A42" s="143"/>
      <c r="B42" s="115" t="s">
        <v>114</v>
      </c>
      <c r="C42" s="107"/>
      <c r="D42" s="107"/>
      <c r="E42" s="107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>
        <f>T41</f>
        <v>17029215</v>
      </c>
    </row>
    <row r="43" spans="1:20" s="96" customFormat="1" ht="48.75" customHeight="1" x14ac:dyDescent="0.65">
      <c r="A43" s="144"/>
      <c r="B43" s="115" t="s">
        <v>115</v>
      </c>
      <c r="C43" s="115"/>
      <c r="D43" s="115"/>
      <c r="E43" s="115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>
        <f>T40+T39+T41+T42</f>
        <v>595205676.89835787</v>
      </c>
    </row>
  </sheetData>
  <mergeCells count="3">
    <mergeCell ref="A1:T1"/>
    <mergeCell ref="D2:T2"/>
    <mergeCell ref="A5:A43"/>
  </mergeCells>
  <pageMargins left="0.7" right="0.7" top="0.75" bottom="0.75" header="0.3" footer="0.3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P55"/>
  <sheetViews>
    <sheetView tabSelected="1" zoomScaleNormal="100" workbookViewId="0">
      <selection activeCell="O36" sqref="O36"/>
    </sheetView>
  </sheetViews>
  <sheetFormatPr defaultColWidth="13.54296875" defaultRowHeight="10" x14ac:dyDescent="0.2"/>
  <cols>
    <col min="1" max="1" width="3.1796875" style="1" customWidth="1"/>
    <col min="2" max="2" width="27.54296875" style="1" customWidth="1"/>
    <col min="3" max="3" width="4.54296875" style="82" customWidth="1"/>
    <col min="4" max="4" width="9" style="1" customWidth="1"/>
    <col min="5" max="5" width="11" style="3" customWidth="1"/>
    <col min="6" max="6" width="9.81640625" style="3" customWidth="1"/>
    <col min="7" max="7" width="9.453125" style="3" customWidth="1"/>
    <col min="8" max="8" width="8.81640625" style="3" customWidth="1"/>
    <col min="9" max="9" width="12" style="2" customWidth="1"/>
    <col min="10" max="13" width="10.26953125" style="3" customWidth="1"/>
    <col min="14" max="14" width="13.54296875" style="3"/>
    <col min="15" max="15" width="16.1796875" style="4" customWidth="1"/>
    <col min="16" max="16" width="20" style="1" customWidth="1"/>
    <col min="17" max="16384" width="13.54296875" style="1"/>
  </cols>
  <sheetData>
    <row r="1" spans="1:15" ht="10.5" x14ac:dyDescent="0.25">
      <c r="B1" s="145" t="s">
        <v>0</v>
      </c>
      <c r="C1" s="145"/>
      <c r="D1" s="145"/>
      <c r="E1" s="145"/>
      <c r="F1" s="145"/>
      <c r="G1" s="145"/>
      <c r="H1" s="145"/>
    </row>
    <row r="2" spans="1:15" s="8" customFormat="1" ht="10.5" x14ac:dyDescent="0.35">
      <c r="A2" s="146" t="s">
        <v>1</v>
      </c>
      <c r="B2" s="146"/>
      <c r="C2" s="146"/>
      <c r="D2" s="146"/>
      <c r="E2" s="146"/>
      <c r="F2" s="146"/>
      <c r="G2" s="5"/>
      <c r="H2" s="5"/>
      <c r="I2" s="6"/>
      <c r="J2" s="5"/>
      <c r="K2" s="5"/>
      <c r="L2" s="5"/>
      <c r="M2" s="5"/>
      <c r="N2" s="5"/>
      <c r="O2" s="7"/>
    </row>
    <row r="3" spans="1:15" s="15" customFormat="1" ht="20" x14ac:dyDescent="0.35">
      <c r="A3" s="9">
        <v>1</v>
      </c>
      <c r="B3" s="10" t="s">
        <v>2</v>
      </c>
      <c r="C3" s="11">
        <v>10</v>
      </c>
      <c r="D3" s="12"/>
      <c r="E3" s="7"/>
      <c r="F3" s="7"/>
      <c r="G3" s="7"/>
      <c r="H3" s="7"/>
      <c r="I3" s="13"/>
      <c r="J3" s="7"/>
      <c r="K3" s="7"/>
      <c r="L3" s="7"/>
      <c r="M3" s="7"/>
      <c r="N3" s="7"/>
      <c r="O3" s="14"/>
    </row>
    <row r="4" spans="1:15" s="22" customFormat="1" ht="31.5" x14ac:dyDescent="0.35">
      <c r="A4" s="16">
        <v>2</v>
      </c>
      <c r="B4" s="17" t="s">
        <v>3</v>
      </c>
      <c r="C4" s="18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20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21" t="s">
        <v>16</v>
      </c>
    </row>
    <row r="5" spans="1:15" x14ac:dyDescent="0.2">
      <c r="A5" s="23"/>
      <c r="B5" s="24" t="s">
        <v>17</v>
      </c>
      <c r="C5" s="25">
        <v>1</v>
      </c>
      <c r="D5" s="26">
        <v>924000</v>
      </c>
      <c r="E5" s="27">
        <v>554400</v>
      </c>
      <c r="F5" s="28">
        <f>E5*0.31</f>
        <v>171864</v>
      </c>
      <c r="G5" s="28">
        <v>20000</v>
      </c>
      <c r="H5" s="28">
        <v>200000</v>
      </c>
      <c r="I5" s="29">
        <v>0</v>
      </c>
      <c r="J5" s="28"/>
      <c r="K5" s="28">
        <v>50000</v>
      </c>
      <c r="L5" s="28">
        <f>D5-E5-H5</f>
        <v>169600</v>
      </c>
      <c r="M5" s="28"/>
      <c r="N5" s="30">
        <f>(E5+F5+G5+H5+I5+J5+L5)*12+K5</f>
        <v>13440368</v>
      </c>
      <c r="O5" s="14">
        <f t="shared" ref="O5:O25" si="0">N5*C5</f>
        <v>13440368</v>
      </c>
    </row>
    <row r="6" spans="1:15" x14ac:dyDescent="0.2">
      <c r="A6" s="23"/>
      <c r="B6" s="31" t="s">
        <v>18</v>
      </c>
      <c r="C6" s="32">
        <v>1</v>
      </c>
      <c r="D6" s="33"/>
      <c r="E6" s="28">
        <v>141430</v>
      </c>
      <c r="F6" s="28">
        <f>E6*0.15</f>
        <v>21214.5</v>
      </c>
      <c r="G6" s="28">
        <v>0</v>
      </c>
      <c r="H6" s="28">
        <v>49525</v>
      </c>
      <c r="I6" s="29"/>
      <c r="J6" s="28">
        <v>27000</v>
      </c>
      <c r="K6" s="28">
        <v>28000</v>
      </c>
      <c r="L6" s="28"/>
      <c r="M6" s="28"/>
      <c r="N6" s="30">
        <f>(E6+F6+G6+I6+H6+J6+L6)*12+K6</f>
        <v>2898034</v>
      </c>
      <c r="O6" s="14">
        <f t="shared" si="0"/>
        <v>2898034</v>
      </c>
    </row>
    <row r="7" spans="1:15" s="39" customFormat="1" x14ac:dyDescent="0.2">
      <c r="A7" s="34"/>
      <c r="B7" s="35" t="s">
        <v>19</v>
      </c>
      <c r="C7" s="36">
        <v>6</v>
      </c>
      <c r="D7" s="37"/>
      <c r="E7" s="38">
        <v>0</v>
      </c>
      <c r="F7" s="38">
        <v>0</v>
      </c>
      <c r="G7" s="38"/>
      <c r="H7" s="38"/>
      <c r="I7" s="29">
        <v>30000</v>
      </c>
      <c r="J7" s="38"/>
      <c r="K7" s="38"/>
      <c r="L7" s="38"/>
      <c r="M7" s="38"/>
      <c r="N7" s="30">
        <f>(E7+F7+G7+I7+H7+J7+L7)*12+K7</f>
        <v>360000</v>
      </c>
      <c r="O7" s="14">
        <f t="shared" si="0"/>
        <v>2160000</v>
      </c>
    </row>
    <row r="8" spans="1:15" x14ac:dyDescent="0.2">
      <c r="A8" s="23"/>
      <c r="B8" s="24" t="s">
        <v>20</v>
      </c>
      <c r="C8" s="25">
        <v>1</v>
      </c>
      <c r="D8" s="26">
        <v>621250</v>
      </c>
      <c r="E8" s="27">
        <v>372750</v>
      </c>
      <c r="F8" s="28">
        <f>E8*0.31</f>
        <v>115552.5</v>
      </c>
      <c r="G8" s="28">
        <v>15000</v>
      </c>
      <c r="H8" s="28">
        <v>100000</v>
      </c>
      <c r="I8" s="29">
        <v>0</v>
      </c>
      <c r="J8" s="28"/>
      <c r="K8" s="28">
        <v>50000</v>
      </c>
      <c r="L8" s="28">
        <f>D8-E8-H8</f>
        <v>148500</v>
      </c>
      <c r="M8" s="28"/>
      <c r="N8" s="30">
        <f>(E8+F8+G8+H8+I8+J8+L8)*12+K8</f>
        <v>9071630</v>
      </c>
      <c r="O8" s="14">
        <f t="shared" si="0"/>
        <v>9071630</v>
      </c>
    </row>
    <row r="9" spans="1:15" ht="10.5" x14ac:dyDescent="0.25">
      <c r="A9" s="23"/>
      <c r="B9" s="40" t="s">
        <v>19</v>
      </c>
      <c r="C9" s="25">
        <v>2</v>
      </c>
      <c r="D9" s="33"/>
      <c r="E9" s="28"/>
      <c r="F9" s="28">
        <f>E9*0.31</f>
        <v>0</v>
      </c>
      <c r="G9" s="28"/>
      <c r="H9" s="28"/>
      <c r="I9" s="29">
        <v>30000</v>
      </c>
      <c r="J9" s="28"/>
      <c r="K9" s="28"/>
      <c r="L9" s="28"/>
      <c r="M9" s="28"/>
      <c r="N9" s="30">
        <f>(E9+F9+G9+I9+H9+J9+L9)*12+K9</f>
        <v>360000</v>
      </c>
      <c r="O9" s="14">
        <f t="shared" si="0"/>
        <v>720000</v>
      </c>
    </row>
    <row r="10" spans="1:15" ht="10.5" x14ac:dyDescent="0.25">
      <c r="A10" s="23"/>
      <c r="B10" s="40" t="s">
        <v>21</v>
      </c>
      <c r="C10" s="25">
        <v>1</v>
      </c>
      <c r="D10" s="33"/>
      <c r="E10" s="28">
        <v>141430</v>
      </c>
      <c r="F10" s="28">
        <v>33817.589999999997</v>
      </c>
      <c r="G10" s="28"/>
      <c r="H10" s="28">
        <v>49525</v>
      </c>
      <c r="I10" s="29"/>
      <c r="J10" s="28">
        <v>27000</v>
      </c>
      <c r="K10" s="28">
        <v>28000</v>
      </c>
      <c r="L10" s="28"/>
      <c r="M10" s="28"/>
      <c r="N10" s="30">
        <f>(E10+F10+G10+I10+H10+J10+L10)*12+K10</f>
        <v>3049271.08</v>
      </c>
      <c r="O10" s="14">
        <f t="shared" si="0"/>
        <v>3049271.08</v>
      </c>
    </row>
    <row r="11" spans="1:15" ht="27" customHeight="1" x14ac:dyDescent="0.2">
      <c r="A11" s="23"/>
      <c r="B11" s="41" t="s">
        <v>22</v>
      </c>
      <c r="C11" s="25">
        <v>10</v>
      </c>
      <c r="D11" s="26">
        <v>404250</v>
      </c>
      <c r="E11" s="27">
        <v>242550</v>
      </c>
      <c r="F11" s="28">
        <f t="shared" ref="F11:F21" si="1">E11*0.31</f>
        <v>75190.5</v>
      </c>
      <c r="G11" s="28">
        <v>10000</v>
      </c>
      <c r="H11" s="28">
        <v>80000</v>
      </c>
      <c r="I11" s="29"/>
      <c r="J11" s="28"/>
      <c r="K11" s="28">
        <v>10000</v>
      </c>
      <c r="L11" s="28">
        <f>D11-E11-H11</f>
        <v>81700</v>
      </c>
      <c r="M11" s="28"/>
      <c r="N11" s="30">
        <f>(E11+F11+G11+H11+I11+J11+L11)*12+K11</f>
        <v>5883286</v>
      </c>
      <c r="O11" s="14">
        <f t="shared" si="0"/>
        <v>58832860</v>
      </c>
    </row>
    <row r="12" spans="1:15" x14ac:dyDescent="0.2">
      <c r="A12" s="23"/>
      <c r="B12" s="24" t="s">
        <v>23</v>
      </c>
      <c r="C12" s="25">
        <v>1</v>
      </c>
      <c r="D12" s="26">
        <v>225000</v>
      </c>
      <c r="E12" s="27">
        <v>135000</v>
      </c>
      <c r="F12" s="28">
        <f t="shared" si="1"/>
        <v>41850</v>
      </c>
      <c r="G12" s="28"/>
      <c r="H12" s="28">
        <v>70000</v>
      </c>
      <c r="I12" s="29"/>
      <c r="J12" s="28"/>
      <c r="K12" s="28">
        <v>10000</v>
      </c>
      <c r="L12" s="28">
        <f>D12-E12-H12</f>
        <v>20000</v>
      </c>
      <c r="M12" s="28"/>
      <c r="N12" s="30">
        <f>(E12+F12+G12+H12+I12+J12+L12)*12+K12</f>
        <v>3212200</v>
      </c>
      <c r="O12" s="14">
        <f t="shared" si="0"/>
        <v>3212200</v>
      </c>
    </row>
    <row r="13" spans="1:15" x14ac:dyDescent="0.2">
      <c r="A13" s="23"/>
      <c r="B13" s="24" t="s">
        <v>24</v>
      </c>
      <c r="C13" s="25">
        <v>14</v>
      </c>
      <c r="D13" s="33">
        <v>200270</v>
      </c>
      <c r="E13" s="28">
        <v>120270</v>
      </c>
      <c r="F13" s="28">
        <f t="shared" si="1"/>
        <v>37283.699999999997</v>
      </c>
      <c r="G13" s="28"/>
      <c r="H13" s="28">
        <f>60000</f>
        <v>60000</v>
      </c>
      <c r="I13" s="29"/>
      <c r="J13" s="28"/>
      <c r="K13" s="28">
        <v>10000</v>
      </c>
      <c r="L13" s="28">
        <f>D13-E13-H13</f>
        <v>20000</v>
      </c>
      <c r="M13" s="28"/>
      <c r="N13" s="30">
        <f>(E13+F13+G13+H13+I13+J13+L13)*12+K13</f>
        <v>2860644.4000000004</v>
      </c>
      <c r="O13" s="14">
        <f t="shared" si="0"/>
        <v>40049021.600000009</v>
      </c>
    </row>
    <row r="14" spans="1:15" x14ac:dyDescent="0.2">
      <c r="A14" s="23"/>
      <c r="B14" s="24" t="s">
        <v>25</v>
      </c>
      <c r="C14" s="42">
        <v>1</v>
      </c>
      <c r="D14" s="43">
        <v>200270</v>
      </c>
      <c r="E14" s="28">
        <v>120270</v>
      </c>
      <c r="F14" s="28">
        <f t="shared" si="1"/>
        <v>37283.699999999997</v>
      </c>
      <c r="G14" s="28"/>
      <c r="H14" s="28">
        <v>60000</v>
      </c>
      <c r="I14" s="29"/>
      <c r="J14" s="28"/>
      <c r="K14" s="28">
        <v>10000</v>
      </c>
      <c r="L14" s="28">
        <f>D14-E14-H14</f>
        <v>20000</v>
      </c>
      <c r="M14" s="28"/>
      <c r="N14" s="30">
        <f>(E14+F14+G14+H14+I14+J14+L14)*12+K14</f>
        <v>2860644.4000000004</v>
      </c>
      <c r="O14" s="14">
        <f t="shared" si="0"/>
        <v>2860644.4000000004</v>
      </c>
    </row>
    <row r="15" spans="1:15" ht="10.5" x14ac:dyDescent="0.25">
      <c r="A15" s="23"/>
      <c r="B15" s="44" t="s">
        <v>26</v>
      </c>
      <c r="C15" s="42"/>
      <c r="D15" s="43"/>
      <c r="E15" s="28"/>
      <c r="F15" s="28">
        <f t="shared" si="1"/>
        <v>0</v>
      </c>
      <c r="G15" s="28"/>
      <c r="H15" s="28"/>
      <c r="I15" s="29"/>
      <c r="J15" s="28"/>
      <c r="K15" s="28"/>
      <c r="L15" s="28"/>
      <c r="M15" s="28"/>
      <c r="N15" s="30">
        <f t="shared" ref="N15:N26" si="2">(E15+F15+G15+I15+H15+J15+L15)*12+K15</f>
        <v>0</v>
      </c>
      <c r="O15" s="14">
        <f t="shared" si="0"/>
        <v>0</v>
      </c>
    </row>
    <row r="16" spans="1:15" x14ac:dyDescent="0.2">
      <c r="A16" s="23"/>
      <c r="B16" s="45" t="s">
        <v>27</v>
      </c>
      <c r="C16" s="46">
        <v>1</v>
      </c>
      <c r="D16" s="47">
        <v>165089</v>
      </c>
      <c r="E16" s="28">
        <v>109089</v>
      </c>
      <c r="F16" s="28">
        <f t="shared" si="1"/>
        <v>33817.589999999997</v>
      </c>
      <c r="G16" s="28"/>
      <c r="H16" s="28">
        <v>40000</v>
      </c>
      <c r="I16" s="29"/>
      <c r="J16" s="28"/>
      <c r="K16" s="28">
        <v>10000</v>
      </c>
      <c r="L16" s="28">
        <f t="shared" ref="L16:L20" si="3">D16-E16-H16</f>
        <v>16000</v>
      </c>
      <c r="M16" s="28"/>
      <c r="N16" s="30">
        <f t="shared" ref="N16:N20" si="4">(E16+F16+G16+H16+I16+J16+L16)*12+K16</f>
        <v>2396879.08</v>
      </c>
      <c r="O16" s="14">
        <f t="shared" si="0"/>
        <v>2396879.08</v>
      </c>
    </row>
    <row r="17" spans="1:16" x14ac:dyDescent="0.2">
      <c r="A17" s="23"/>
      <c r="B17" s="45" t="s">
        <v>28</v>
      </c>
      <c r="C17" s="46">
        <v>1</v>
      </c>
      <c r="D17" s="47">
        <v>165089</v>
      </c>
      <c r="E17" s="28">
        <v>109089</v>
      </c>
      <c r="F17" s="28">
        <f t="shared" si="1"/>
        <v>33817.589999999997</v>
      </c>
      <c r="G17" s="28"/>
      <c r="H17" s="28">
        <v>40000</v>
      </c>
      <c r="I17" s="29"/>
      <c r="J17" s="28"/>
      <c r="K17" s="28">
        <v>10000</v>
      </c>
      <c r="L17" s="28">
        <f t="shared" si="3"/>
        <v>16000</v>
      </c>
      <c r="M17" s="28"/>
      <c r="N17" s="30">
        <f t="shared" si="4"/>
        <v>2396879.08</v>
      </c>
      <c r="O17" s="14">
        <f t="shared" si="0"/>
        <v>2396879.08</v>
      </c>
    </row>
    <row r="18" spans="1:16" x14ac:dyDescent="0.2">
      <c r="A18" s="23"/>
      <c r="B18" s="45" t="s">
        <v>29</v>
      </c>
      <c r="C18" s="46">
        <v>1</v>
      </c>
      <c r="D18" s="47">
        <v>165089</v>
      </c>
      <c r="E18" s="28">
        <v>109089</v>
      </c>
      <c r="F18" s="28">
        <f t="shared" si="1"/>
        <v>33817.589999999997</v>
      </c>
      <c r="G18" s="28"/>
      <c r="H18" s="28">
        <v>40000</v>
      </c>
      <c r="I18" s="29"/>
      <c r="J18" s="28"/>
      <c r="K18" s="28">
        <v>10000</v>
      </c>
      <c r="L18" s="28">
        <f t="shared" si="3"/>
        <v>16000</v>
      </c>
      <c r="M18" s="28"/>
      <c r="N18" s="30">
        <f t="shared" si="4"/>
        <v>2396879.08</v>
      </c>
      <c r="O18" s="14">
        <f t="shared" si="0"/>
        <v>2396879.08</v>
      </c>
    </row>
    <row r="19" spans="1:16" x14ac:dyDescent="0.2">
      <c r="A19" s="23"/>
      <c r="B19" s="45" t="s">
        <v>30</v>
      </c>
      <c r="C19" s="46">
        <v>1</v>
      </c>
      <c r="D19" s="47">
        <v>165089</v>
      </c>
      <c r="E19" s="28">
        <v>109089</v>
      </c>
      <c r="F19" s="28">
        <f t="shared" si="1"/>
        <v>33817.589999999997</v>
      </c>
      <c r="G19" s="28"/>
      <c r="H19" s="28">
        <v>40000</v>
      </c>
      <c r="I19" s="29"/>
      <c r="J19" s="28"/>
      <c r="K19" s="28">
        <v>10000</v>
      </c>
      <c r="L19" s="28">
        <f t="shared" si="3"/>
        <v>16000</v>
      </c>
      <c r="M19" s="28"/>
      <c r="N19" s="30">
        <f t="shared" si="4"/>
        <v>2396879.08</v>
      </c>
      <c r="O19" s="14">
        <f t="shared" si="0"/>
        <v>2396879.08</v>
      </c>
    </row>
    <row r="20" spans="1:16" x14ac:dyDescent="0.2">
      <c r="A20" s="23"/>
      <c r="B20" s="45" t="s">
        <v>31</v>
      </c>
      <c r="C20" s="46">
        <v>1</v>
      </c>
      <c r="D20" s="47">
        <v>165089</v>
      </c>
      <c r="E20" s="28">
        <v>109089</v>
      </c>
      <c r="F20" s="28">
        <f t="shared" si="1"/>
        <v>33817.589999999997</v>
      </c>
      <c r="G20" s="28"/>
      <c r="H20" s="28">
        <v>40000</v>
      </c>
      <c r="I20" s="29"/>
      <c r="J20" s="28"/>
      <c r="K20" s="28">
        <v>10000</v>
      </c>
      <c r="L20" s="28">
        <f t="shared" si="3"/>
        <v>16000</v>
      </c>
      <c r="M20" s="28"/>
      <c r="N20" s="30">
        <f t="shared" si="4"/>
        <v>2396879.08</v>
      </c>
      <c r="O20" s="14">
        <f t="shared" si="0"/>
        <v>2396879.08</v>
      </c>
    </row>
    <row r="21" spans="1:16" ht="10.5" x14ac:dyDescent="0.25">
      <c r="A21" s="23"/>
      <c r="B21" s="44" t="s">
        <v>32</v>
      </c>
      <c r="C21" s="48"/>
      <c r="D21" s="23"/>
      <c r="E21" s="28"/>
      <c r="F21" s="28">
        <f t="shared" si="1"/>
        <v>0</v>
      </c>
      <c r="G21" s="28"/>
      <c r="H21" s="28"/>
      <c r="I21" s="29"/>
      <c r="J21" s="28"/>
      <c r="K21" s="28"/>
      <c r="L21" s="28"/>
      <c r="M21" s="28"/>
      <c r="N21" s="30">
        <f t="shared" si="2"/>
        <v>0</v>
      </c>
      <c r="O21" s="14">
        <f t="shared" si="0"/>
        <v>0</v>
      </c>
    </row>
    <row r="22" spans="1:16" x14ac:dyDescent="0.2">
      <c r="A22" s="23"/>
      <c r="B22" s="45" t="s">
        <v>33</v>
      </c>
      <c r="C22" s="46">
        <v>1</v>
      </c>
      <c r="D22" s="47">
        <v>243967</v>
      </c>
      <c r="E22" s="27">
        <f>0.6*D22</f>
        <v>146380.19999999998</v>
      </c>
      <c r="F22" s="28">
        <f>E22*0.31</f>
        <v>45377.861999999994</v>
      </c>
      <c r="G22" s="28">
        <v>5000</v>
      </c>
      <c r="H22" s="28"/>
      <c r="I22" s="29"/>
      <c r="J22" s="28"/>
      <c r="K22" s="28">
        <v>10000</v>
      </c>
      <c r="L22" s="28">
        <f>0.4*D22</f>
        <v>97586.8</v>
      </c>
      <c r="M22" s="28"/>
      <c r="N22" s="30">
        <f>(E22+F22+G22+I22+H22+J22+L22)*12+K22</f>
        <v>3542138.3439999996</v>
      </c>
      <c r="O22" s="14">
        <f t="shared" si="0"/>
        <v>3542138.3439999996</v>
      </c>
    </row>
    <row r="23" spans="1:16" x14ac:dyDescent="0.2">
      <c r="A23" s="23"/>
      <c r="B23" s="45" t="s">
        <v>34</v>
      </c>
      <c r="C23" s="46">
        <v>1</v>
      </c>
      <c r="D23" s="47">
        <v>192150</v>
      </c>
      <c r="E23" s="27">
        <f t="shared" ref="E23:E25" si="5">0.6*D23</f>
        <v>115290</v>
      </c>
      <c r="F23" s="28">
        <f t="shared" ref="F23:F25" si="6">E23*0.31</f>
        <v>35739.9</v>
      </c>
      <c r="G23" s="28">
        <v>4000</v>
      </c>
      <c r="H23" s="28"/>
      <c r="I23" s="29"/>
      <c r="J23" s="28"/>
      <c r="K23" s="28">
        <v>10000</v>
      </c>
      <c r="L23" s="28">
        <f t="shared" ref="L23:L25" si="7">0.4*D23</f>
        <v>76860</v>
      </c>
      <c r="M23" s="28"/>
      <c r="N23" s="30">
        <f t="shared" ref="N23:N25" si="8">(E23+F23+G23+I23+H23+J23+L23)*12+K23</f>
        <v>2792678.8</v>
      </c>
      <c r="O23" s="14">
        <f t="shared" si="0"/>
        <v>2792678.8</v>
      </c>
    </row>
    <row r="24" spans="1:16" x14ac:dyDescent="0.2">
      <c r="A24" s="23"/>
      <c r="B24" s="45" t="s">
        <v>35</v>
      </c>
      <c r="C24" s="46">
        <v>4</v>
      </c>
      <c r="D24" s="47">
        <v>192150</v>
      </c>
      <c r="E24" s="27">
        <f t="shared" si="5"/>
        <v>115290</v>
      </c>
      <c r="F24" s="28">
        <f t="shared" si="6"/>
        <v>35739.9</v>
      </c>
      <c r="G24" s="28">
        <v>4000</v>
      </c>
      <c r="H24" s="28"/>
      <c r="I24" s="29"/>
      <c r="J24" s="28"/>
      <c r="K24" s="28">
        <v>10000</v>
      </c>
      <c r="L24" s="28">
        <f t="shared" si="7"/>
        <v>76860</v>
      </c>
      <c r="M24" s="28"/>
      <c r="N24" s="30">
        <f t="shared" si="8"/>
        <v>2792678.8</v>
      </c>
      <c r="O24" s="14">
        <f t="shared" si="0"/>
        <v>11170715.199999999</v>
      </c>
      <c r="P24" s="49"/>
    </row>
    <row r="25" spans="1:16" x14ac:dyDescent="0.2">
      <c r="A25" s="23"/>
      <c r="B25" s="45" t="s">
        <v>36</v>
      </c>
      <c r="C25" s="48">
        <v>1</v>
      </c>
      <c r="D25" s="23">
        <v>174300</v>
      </c>
      <c r="E25" s="27">
        <f t="shared" si="5"/>
        <v>104580</v>
      </c>
      <c r="F25" s="28">
        <f t="shared" si="6"/>
        <v>32419.8</v>
      </c>
      <c r="G25" s="28">
        <v>10000</v>
      </c>
      <c r="H25" s="28"/>
      <c r="I25" s="29"/>
      <c r="J25" s="28"/>
      <c r="K25" s="28">
        <v>10000</v>
      </c>
      <c r="L25" s="28">
        <f t="shared" si="7"/>
        <v>69720</v>
      </c>
      <c r="M25" s="28"/>
      <c r="N25" s="30">
        <f t="shared" si="8"/>
        <v>2610637.5999999996</v>
      </c>
      <c r="O25" s="14">
        <f t="shared" si="0"/>
        <v>2610637.5999999996</v>
      </c>
    </row>
    <row r="26" spans="1:16" ht="10.5" x14ac:dyDescent="0.25">
      <c r="A26" s="23"/>
      <c r="B26" s="50" t="s">
        <v>37</v>
      </c>
      <c r="C26" s="48"/>
      <c r="D26" s="23"/>
      <c r="E26" s="27"/>
      <c r="F26" s="28"/>
      <c r="G26" s="28"/>
      <c r="H26" s="28"/>
      <c r="I26" s="29"/>
      <c r="J26" s="28"/>
      <c r="K26" s="28"/>
      <c r="L26" s="28"/>
      <c r="M26" s="28"/>
      <c r="N26" s="30">
        <f t="shared" si="2"/>
        <v>0</v>
      </c>
      <c r="O26" s="51">
        <f>SUM(O27:O29)</f>
        <v>6493426</v>
      </c>
    </row>
    <row r="27" spans="1:16" x14ac:dyDescent="0.2">
      <c r="A27" s="23"/>
      <c r="B27" s="45" t="s">
        <v>38</v>
      </c>
      <c r="C27" s="48">
        <v>4</v>
      </c>
      <c r="D27" s="23"/>
      <c r="E27" s="27">
        <v>65120</v>
      </c>
      <c r="F27" s="28">
        <f>E27*0.15</f>
        <v>9768</v>
      </c>
      <c r="G27" s="28"/>
      <c r="H27" s="28">
        <v>22000</v>
      </c>
      <c r="I27" s="29"/>
      <c r="J27" s="28">
        <v>8000</v>
      </c>
      <c r="K27" s="28">
        <v>6000</v>
      </c>
      <c r="L27" s="28"/>
      <c r="M27" s="28"/>
      <c r="N27" s="30">
        <f>(E27+F27+G27+I27+H27+J27+L27)*12+K27</f>
        <v>1264656</v>
      </c>
      <c r="O27" s="14">
        <f>N27*C27</f>
        <v>5058624</v>
      </c>
    </row>
    <row r="28" spans="1:16" x14ac:dyDescent="0.2">
      <c r="A28" s="23"/>
      <c r="B28" s="45" t="s">
        <v>39</v>
      </c>
      <c r="C28" s="48">
        <v>1</v>
      </c>
      <c r="D28" s="23"/>
      <c r="E28" s="27">
        <v>53720</v>
      </c>
      <c r="F28" s="28">
        <f>E28*0.15</f>
        <v>8058</v>
      </c>
      <c r="G28" s="28"/>
      <c r="H28" s="28">
        <v>22000</v>
      </c>
      <c r="I28" s="29"/>
      <c r="J28" s="28">
        <v>8000</v>
      </c>
      <c r="K28" s="28">
        <v>6000</v>
      </c>
      <c r="L28" s="28"/>
      <c r="M28" s="28"/>
      <c r="N28" s="30">
        <f t="shared" ref="N28:N29" si="9">(E28+F28+G28+I28+H28+J28+L28)*12+K28</f>
        <v>1107336</v>
      </c>
      <c r="O28" s="14">
        <f>N28*C28</f>
        <v>1107336</v>
      </c>
    </row>
    <row r="29" spans="1:16" x14ac:dyDescent="0.2">
      <c r="A29" s="23"/>
      <c r="B29" s="45" t="s">
        <v>40</v>
      </c>
      <c r="C29" s="48">
        <v>1</v>
      </c>
      <c r="D29" s="23"/>
      <c r="E29" s="27">
        <v>17570</v>
      </c>
      <c r="F29" s="28">
        <f>E29*0.15</f>
        <v>2635.5</v>
      </c>
      <c r="G29" s="28"/>
      <c r="H29" s="28">
        <v>3750</v>
      </c>
      <c r="I29" s="29"/>
      <c r="J29" s="28">
        <v>3000</v>
      </c>
      <c r="K29" s="28">
        <v>4000</v>
      </c>
      <c r="L29" s="28"/>
      <c r="M29" s="28"/>
      <c r="N29" s="30">
        <f t="shared" si="9"/>
        <v>327466</v>
      </c>
      <c r="O29" s="14">
        <f>N29*C29</f>
        <v>327466</v>
      </c>
    </row>
    <row r="30" spans="1:16" ht="10.5" x14ac:dyDescent="0.25">
      <c r="A30" s="23"/>
      <c r="B30" s="50" t="s">
        <v>41</v>
      </c>
      <c r="C30" s="52"/>
      <c r="D30" s="53"/>
      <c r="E30" s="54"/>
      <c r="F30" s="54"/>
      <c r="G30" s="54"/>
      <c r="H30" s="54"/>
      <c r="I30" s="29"/>
      <c r="J30" s="54"/>
      <c r="K30" s="54"/>
      <c r="L30" s="54"/>
      <c r="M30" s="54"/>
      <c r="N30" s="54"/>
      <c r="O30" s="55"/>
    </row>
    <row r="31" spans="1:16" x14ac:dyDescent="0.2">
      <c r="A31" s="23"/>
      <c r="B31" s="56" t="s">
        <v>42</v>
      </c>
      <c r="C31" s="52">
        <v>1</v>
      </c>
      <c r="D31" s="53"/>
      <c r="E31" s="54">
        <v>121430</v>
      </c>
      <c r="F31" s="54">
        <f>0.31*E31</f>
        <v>37643.300000000003</v>
      </c>
      <c r="G31" s="54"/>
      <c r="H31" s="54">
        <v>35000</v>
      </c>
      <c r="I31" s="29"/>
      <c r="J31" s="54"/>
      <c r="K31" s="54">
        <v>10000</v>
      </c>
      <c r="L31" s="54">
        <v>16000</v>
      </c>
      <c r="M31" s="54"/>
      <c r="N31" s="54">
        <f>(E31+F31+G31+H31+I31+J31+L31)*12+K31</f>
        <v>2530879.5999999996</v>
      </c>
      <c r="O31" s="55">
        <f>N31*C31</f>
        <v>2530879.5999999996</v>
      </c>
    </row>
    <row r="32" spans="1:16" x14ac:dyDescent="0.2">
      <c r="A32" s="23"/>
      <c r="B32" s="56" t="s">
        <v>43</v>
      </c>
      <c r="C32" s="52">
        <v>1</v>
      </c>
      <c r="D32" s="53"/>
      <c r="E32" s="54">
        <v>0</v>
      </c>
      <c r="F32" s="54">
        <f>0.31*E32</f>
        <v>0</v>
      </c>
      <c r="G32" s="54">
        <v>0</v>
      </c>
      <c r="H32" s="54">
        <v>0</v>
      </c>
      <c r="I32" s="29">
        <v>0</v>
      </c>
      <c r="J32" s="54">
        <v>0</v>
      </c>
      <c r="K32" s="54">
        <v>0</v>
      </c>
      <c r="L32" s="54"/>
      <c r="M32" s="54"/>
      <c r="N32" s="54">
        <f>(E32+F32+G32+H32+I32+J32+L32)*12+K32</f>
        <v>0</v>
      </c>
      <c r="O32" s="55">
        <f>N32*C32</f>
        <v>0</v>
      </c>
    </row>
    <row r="33" spans="1:15" x14ac:dyDescent="0.2">
      <c r="A33" s="23"/>
      <c r="B33" s="56" t="s">
        <v>44</v>
      </c>
      <c r="C33" s="52">
        <v>1</v>
      </c>
      <c r="D33" s="53"/>
      <c r="E33" s="54"/>
      <c r="F33" s="54"/>
      <c r="G33" s="54"/>
      <c r="H33" s="54"/>
      <c r="I33" s="29"/>
      <c r="J33" s="54"/>
      <c r="K33" s="54"/>
      <c r="L33" s="54"/>
      <c r="M33" s="54"/>
      <c r="N33" s="54">
        <f>(E33+F33+G33+H33+I33+J33+L33)*12+K33</f>
        <v>0</v>
      </c>
      <c r="O33" s="55">
        <f>N33*C33</f>
        <v>0</v>
      </c>
    </row>
    <row r="34" spans="1:15" s="64" customFormat="1" ht="10.5" x14ac:dyDescent="0.25">
      <c r="A34" s="57"/>
      <c r="B34" s="58" t="s">
        <v>45</v>
      </c>
      <c r="C34" s="59"/>
      <c r="D34" s="60"/>
      <c r="E34" s="61"/>
      <c r="F34" s="61"/>
      <c r="G34" s="61"/>
      <c r="H34" s="61"/>
      <c r="I34" s="62"/>
      <c r="J34" s="61"/>
      <c r="K34" s="61"/>
      <c r="L34" s="61"/>
      <c r="M34" s="61"/>
      <c r="N34" s="61"/>
      <c r="O34" s="63">
        <f>O31+O32+O33</f>
        <v>2530879.5999999996</v>
      </c>
    </row>
    <row r="35" spans="1:15" s="64" customFormat="1" ht="10.5" x14ac:dyDescent="0.25">
      <c r="A35" s="57"/>
      <c r="B35" s="58" t="s">
        <v>46</v>
      </c>
      <c r="C35" s="59"/>
      <c r="D35" s="60"/>
      <c r="E35" s="61">
        <v>850010</v>
      </c>
      <c r="F35" s="61">
        <f>0.15*E35</f>
        <v>127501.5</v>
      </c>
      <c r="G35" s="61"/>
      <c r="H35" s="61">
        <v>245000</v>
      </c>
      <c r="I35" s="62"/>
      <c r="J35" s="61"/>
      <c r="K35" s="61">
        <v>70000</v>
      </c>
      <c r="L35" s="61">
        <v>112000</v>
      </c>
      <c r="M35" s="61"/>
      <c r="N35" s="61"/>
      <c r="O35" s="63">
        <f>(E35+F35+H35+L35)*12+K35</f>
        <v>16084138</v>
      </c>
    </row>
    <row r="36" spans="1:15" ht="24.65" customHeight="1" x14ac:dyDescent="0.25">
      <c r="A36" s="23"/>
      <c r="B36" s="65" t="s">
        <v>47</v>
      </c>
      <c r="C36" s="52"/>
      <c r="D36" s="53"/>
      <c r="E36" s="54"/>
      <c r="F36" s="54"/>
      <c r="G36" s="54"/>
      <c r="H36" s="54"/>
      <c r="I36" s="29"/>
      <c r="J36" s="54"/>
      <c r="K36" s="54"/>
      <c r="L36" s="54"/>
      <c r="M36" s="54"/>
      <c r="N36" s="54"/>
      <c r="O36" s="55"/>
    </row>
    <row r="37" spans="1:15" x14ac:dyDescent="0.2">
      <c r="A37" s="23"/>
      <c r="B37" s="66" t="s">
        <v>48</v>
      </c>
      <c r="C37" s="52">
        <v>1</v>
      </c>
      <c r="D37" s="53"/>
      <c r="E37" s="54"/>
      <c r="F37" s="54"/>
      <c r="G37" s="54"/>
      <c r="H37" s="54"/>
      <c r="I37" s="29"/>
      <c r="J37" s="54"/>
      <c r="K37" s="54"/>
      <c r="L37" s="54">
        <v>12000</v>
      </c>
      <c r="M37" s="54">
        <v>20000</v>
      </c>
      <c r="N37" s="54">
        <f>(L37+M37)*4</f>
        <v>128000</v>
      </c>
      <c r="O37" s="55">
        <f>N37*C37</f>
        <v>128000</v>
      </c>
    </row>
    <row r="38" spans="1:15" x14ac:dyDescent="0.2">
      <c r="A38" s="23"/>
      <c r="B38" s="66" t="s">
        <v>49</v>
      </c>
      <c r="C38" s="52">
        <v>6</v>
      </c>
      <c r="D38" s="53"/>
      <c r="E38" s="54"/>
      <c r="F38" s="54"/>
      <c r="G38" s="54"/>
      <c r="H38" s="54"/>
      <c r="I38" s="29"/>
      <c r="J38" s="54"/>
      <c r="K38" s="54"/>
      <c r="L38" s="54">
        <v>8000</v>
      </c>
      <c r="M38" s="54">
        <v>20000</v>
      </c>
      <c r="N38" s="54">
        <f>(L38+M38)*4</f>
        <v>112000</v>
      </c>
      <c r="O38" s="55">
        <f>N38*C38</f>
        <v>672000</v>
      </c>
    </row>
    <row r="39" spans="1:15" ht="10.5" x14ac:dyDescent="0.25">
      <c r="A39" s="23"/>
      <c r="B39" s="50" t="s">
        <v>50</v>
      </c>
      <c r="C39" s="52"/>
      <c r="D39" s="53"/>
      <c r="E39" s="54"/>
      <c r="F39" s="54"/>
      <c r="G39" s="54"/>
      <c r="H39" s="54"/>
      <c r="I39" s="29"/>
      <c r="J39" s="54"/>
      <c r="K39" s="54"/>
      <c r="L39" s="54"/>
      <c r="M39" s="54"/>
      <c r="N39" s="54"/>
      <c r="O39" s="67">
        <f>SUM(O37:O38)</f>
        <v>800000</v>
      </c>
    </row>
    <row r="40" spans="1:15" ht="25" customHeight="1" x14ac:dyDescent="0.25">
      <c r="A40" s="24"/>
      <c r="B40" s="65" t="s">
        <v>51</v>
      </c>
      <c r="C40" s="68"/>
      <c r="D40" s="24"/>
      <c r="E40" s="69"/>
      <c r="F40" s="28"/>
      <c r="G40" s="28"/>
      <c r="H40" s="69"/>
      <c r="I40" s="29"/>
      <c r="J40" s="28"/>
      <c r="K40" s="28"/>
      <c r="L40" s="28"/>
      <c r="M40" s="28"/>
      <c r="N40" s="28"/>
      <c r="O40" s="14"/>
    </row>
    <row r="41" spans="1:15" x14ac:dyDescent="0.2">
      <c r="A41" s="24"/>
      <c r="B41" s="66" t="s">
        <v>48</v>
      </c>
      <c r="C41" s="68">
        <v>1</v>
      </c>
      <c r="D41" s="24"/>
      <c r="E41" s="69"/>
      <c r="F41" s="28"/>
      <c r="G41" s="28"/>
      <c r="H41" s="69"/>
      <c r="I41" s="29"/>
      <c r="J41" s="28"/>
      <c r="K41" s="28"/>
      <c r="L41" s="28">
        <v>0</v>
      </c>
      <c r="M41" s="27"/>
      <c r="N41" s="28">
        <f>(L41+M41)*8</f>
        <v>0</v>
      </c>
      <c r="O41" s="14">
        <f>C41*N41</f>
        <v>0</v>
      </c>
    </row>
    <row r="42" spans="1:15" x14ac:dyDescent="0.2">
      <c r="A42" s="24"/>
      <c r="B42" s="66" t="s">
        <v>52</v>
      </c>
      <c r="C42" s="68">
        <v>11</v>
      </c>
      <c r="D42" s="24"/>
      <c r="E42" s="69"/>
      <c r="F42" s="28"/>
      <c r="G42" s="28"/>
      <c r="H42" s="69"/>
      <c r="I42" s="29"/>
      <c r="J42" s="28"/>
      <c r="K42" s="28"/>
      <c r="L42" s="28">
        <v>0</v>
      </c>
      <c r="M42" s="27"/>
      <c r="N42" s="28">
        <f t="shared" ref="N42:N43" si="10">(L42+M42)*8</f>
        <v>0</v>
      </c>
      <c r="O42" s="14">
        <f t="shared" ref="O42:O43" si="11">C42*N42</f>
        <v>0</v>
      </c>
    </row>
    <row r="43" spans="1:15" x14ac:dyDescent="0.2">
      <c r="A43" s="24"/>
      <c r="B43" s="66" t="s">
        <v>53</v>
      </c>
      <c r="C43" s="68">
        <v>11</v>
      </c>
      <c r="D43" s="24"/>
      <c r="E43" s="69"/>
      <c r="F43" s="28"/>
      <c r="G43" s="28"/>
      <c r="H43" s="69"/>
      <c r="I43" s="29"/>
      <c r="J43" s="28"/>
      <c r="K43" s="28"/>
      <c r="L43" s="28">
        <v>8000</v>
      </c>
      <c r="M43" s="27">
        <v>20000</v>
      </c>
      <c r="N43" s="28">
        <f t="shared" si="10"/>
        <v>224000</v>
      </c>
      <c r="O43" s="14">
        <f t="shared" si="11"/>
        <v>2464000</v>
      </c>
    </row>
    <row r="44" spans="1:15" ht="10.5" x14ac:dyDescent="0.25">
      <c r="A44" s="24"/>
      <c r="B44" s="50" t="s">
        <v>54</v>
      </c>
      <c r="C44" s="68"/>
      <c r="D44" s="24"/>
      <c r="E44" s="69"/>
      <c r="F44" s="28"/>
      <c r="G44" s="28"/>
      <c r="H44" s="69"/>
      <c r="I44" s="29"/>
      <c r="J44" s="28"/>
      <c r="K44" s="28"/>
      <c r="L44" s="28"/>
      <c r="M44" s="28"/>
      <c r="N44" s="28"/>
      <c r="O44" s="70">
        <f>SUM(O41:O43)</f>
        <v>2464000</v>
      </c>
    </row>
    <row r="45" spans="1:15" x14ac:dyDescent="0.2">
      <c r="A45" s="24"/>
      <c r="B45" s="66" t="s">
        <v>55</v>
      </c>
      <c r="C45" s="71">
        <v>20</v>
      </c>
      <c r="D45" s="24"/>
      <c r="E45" s="69">
        <v>49000</v>
      </c>
      <c r="F45" s="28">
        <f>0.15*E45</f>
        <v>7350</v>
      </c>
      <c r="G45" s="28"/>
      <c r="H45" s="69">
        <v>22000</v>
      </c>
      <c r="I45" s="29"/>
      <c r="J45" s="28"/>
      <c r="K45" s="28">
        <v>6000</v>
      </c>
      <c r="L45" s="28">
        <v>8000</v>
      </c>
      <c r="M45" s="28"/>
      <c r="N45" s="28">
        <f>(E45+F45+G45+I45+H45+J45+L45)*12+K45</f>
        <v>1042200</v>
      </c>
      <c r="O45" s="14">
        <f>N45*C45</f>
        <v>20844000</v>
      </c>
    </row>
    <row r="46" spans="1:15" x14ac:dyDescent="0.2">
      <c r="A46" s="24"/>
      <c r="B46" s="66" t="s">
        <v>56</v>
      </c>
      <c r="C46" s="71">
        <v>4</v>
      </c>
      <c r="D46" s="24"/>
      <c r="E46" s="69">
        <v>87360</v>
      </c>
      <c r="F46" s="28">
        <f>0.15*E46</f>
        <v>13104</v>
      </c>
      <c r="G46" s="28"/>
      <c r="H46" s="69">
        <v>28000</v>
      </c>
      <c r="I46" s="29"/>
      <c r="J46" s="69"/>
      <c r="K46" s="69">
        <v>10000</v>
      </c>
      <c r="L46" s="28">
        <v>14000</v>
      </c>
      <c r="M46" s="28"/>
      <c r="N46" s="28">
        <f t="shared" ref="N46:N48" si="12">(E46+F46+G46+I46+H46+J46+L46)*12+K46</f>
        <v>1719568</v>
      </c>
      <c r="O46" s="14">
        <f t="shared" ref="O46:O48" si="13">N46*C46</f>
        <v>6878272</v>
      </c>
    </row>
    <row r="47" spans="1:15" x14ac:dyDescent="0.2">
      <c r="A47" s="24"/>
      <c r="B47" s="66" t="s">
        <v>57</v>
      </c>
      <c r="C47" s="72">
        <f>C46</f>
        <v>4</v>
      </c>
      <c r="D47" s="24"/>
      <c r="E47" s="69">
        <v>56370</v>
      </c>
      <c r="F47" s="28">
        <f>0.15*E47</f>
        <v>8455.5</v>
      </c>
      <c r="G47" s="28"/>
      <c r="H47" s="69">
        <v>25500</v>
      </c>
      <c r="I47" s="29"/>
      <c r="J47" s="69"/>
      <c r="K47" s="69">
        <v>10000</v>
      </c>
      <c r="L47" s="28">
        <v>12000</v>
      </c>
      <c r="M47" s="28"/>
      <c r="N47" s="28">
        <f t="shared" si="12"/>
        <v>1237906</v>
      </c>
      <c r="O47" s="14">
        <f t="shared" si="13"/>
        <v>4951624</v>
      </c>
    </row>
    <row r="48" spans="1:15" x14ac:dyDescent="0.2">
      <c r="A48" s="24"/>
      <c r="B48" s="66" t="s">
        <v>58</v>
      </c>
      <c r="C48" s="73">
        <v>113</v>
      </c>
      <c r="D48" s="24"/>
      <c r="E48" s="69">
        <v>31270</v>
      </c>
      <c r="F48" s="28">
        <f>0.15*E48</f>
        <v>4690.5</v>
      </c>
      <c r="G48" s="28"/>
      <c r="H48" s="69">
        <v>7500</v>
      </c>
      <c r="I48" s="29"/>
      <c r="J48" s="69"/>
      <c r="K48" s="69">
        <v>6000</v>
      </c>
      <c r="L48" s="28">
        <v>8000</v>
      </c>
      <c r="M48" s="28"/>
      <c r="N48" s="28">
        <f t="shared" si="12"/>
        <v>623526</v>
      </c>
      <c r="O48" s="14">
        <f t="shared" si="13"/>
        <v>70458438</v>
      </c>
    </row>
    <row r="49" spans="1:15" x14ac:dyDescent="0.2">
      <c r="A49" s="24"/>
      <c r="B49" s="66" t="s">
        <v>59</v>
      </c>
      <c r="C49" s="68"/>
      <c r="D49" s="24"/>
      <c r="E49" s="69"/>
      <c r="F49" s="28"/>
      <c r="G49" s="28"/>
      <c r="H49" s="69"/>
      <c r="I49" s="29"/>
      <c r="J49" s="69"/>
      <c r="K49" s="69"/>
      <c r="L49" s="69"/>
      <c r="M49" s="69"/>
      <c r="N49" s="28"/>
      <c r="O49" s="14">
        <v>14576208.555062305</v>
      </c>
    </row>
    <row r="50" spans="1:15" s="77" customFormat="1" ht="10.5" x14ac:dyDescent="0.25">
      <c r="A50" s="23"/>
      <c r="B50" s="74" t="s">
        <v>60</v>
      </c>
      <c r="C50" s="9"/>
      <c r="D50" s="74"/>
      <c r="E50" s="28"/>
      <c r="F50" s="5"/>
      <c r="G50" s="5"/>
      <c r="H50" s="5"/>
      <c r="I50" s="6"/>
      <c r="J50" s="28"/>
      <c r="K50" s="28"/>
      <c r="L50" s="5"/>
      <c r="M50" s="5"/>
      <c r="N50" s="75"/>
      <c r="O50" s="76">
        <f>O49+O46+O45+O44+O39+O34+O26+O25+O24+O23+O22+O20+O18+O17+O16+O14+O13+O12+O11+O10+O9+O8+O7+O6+O5+O47+O48+O19+O35</f>
        <v>314475580.57906228</v>
      </c>
    </row>
    <row r="51" spans="1:15" x14ac:dyDescent="0.2">
      <c r="A51" s="23"/>
      <c r="B51" s="24" t="s">
        <v>61</v>
      </c>
      <c r="C51" s="48"/>
      <c r="D51" s="24"/>
      <c r="E51" s="28"/>
      <c r="F51" s="28"/>
      <c r="G51" s="28"/>
      <c r="H51" s="28"/>
      <c r="I51" s="29"/>
      <c r="J51" s="28"/>
      <c r="K51" s="28"/>
      <c r="L51" s="28"/>
      <c r="M51" s="28"/>
      <c r="N51" s="33"/>
      <c r="O51" s="33">
        <f>(30/70)*O50</f>
        <v>134775248.81959811</v>
      </c>
    </row>
    <row r="52" spans="1:15" x14ac:dyDescent="0.2">
      <c r="A52" s="23"/>
      <c r="B52" s="24" t="s">
        <v>62</v>
      </c>
      <c r="C52" s="48"/>
      <c r="D52" s="24"/>
      <c r="E52" s="28"/>
      <c r="F52" s="28"/>
      <c r="G52" s="28"/>
      <c r="H52" s="28"/>
      <c r="I52" s="29"/>
      <c r="J52" s="28"/>
      <c r="K52" s="28"/>
      <c r="L52" s="28"/>
      <c r="M52" s="28"/>
      <c r="N52" s="33"/>
      <c r="O52" s="33">
        <f>0.1*(O5+O8+O11+O12+O13+O14+O16+O17+O18+O20+O34+O44+O19+O39)</f>
        <v>14524599.900000004</v>
      </c>
    </row>
    <row r="53" spans="1:15" s="8" customFormat="1" ht="10.5" x14ac:dyDescent="0.2">
      <c r="A53" s="23"/>
      <c r="B53" s="78" t="s">
        <v>45</v>
      </c>
      <c r="C53" s="79"/>
      <c r="D53" s="80"/>
      <c r="E53" s="81"/>
      <c r="F53" s="5"/>
      <c r="G53" s="5"/>
      <c r="H53" s="5"/>
      <c r="I53" s="6"/>
      <c r="J53" s="5"/>
      <c r="K53" s="5"/>
      <c r="L53" s="5"/>
      <c r="M53" s="5"/>
      <c r="N53" s="5"/>
      <c r="O53" s="5">
        <f>O50+O51+O52</f>
        <v>463775429.2986604</v>
      </c>
    </row>
    <row r="55" spans="1:15" ht="10.5" x14ac:dyDescent="0.25"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</row>
  </sheetData>
  <mergeCells count="3">
    <mergeCell ref="B1:H1"/>
    <mergeCell ref="A2:F2"/>
    <mergeCell ref="B55:O55"/>
  </mergeCells>
  <pageMargins left="0.25" right="0.25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</vt:lpstr>
      <vt:lpstr>CE</vt:lpstr>
      <vt:lpstr>CA!Print_Area</vt:lpstr>
      <vt:lpstr>CE!Print_Area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Kagwanja</dc:creator>
  <cp:lastModifiedBy>Gilbah</cp:lastModifiedBy>
  <dcterms:created xsi:type="dcterms:W3CDTF">2022-12-20T09:31:32Z</dcterms:created>
  <dcterms:modified xsi:type="dcterms:W3CDTF">2023-04-06T13:18:14Z</dcterms:modified>
</cp:coreProperties>
</file>