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hamcm\OneDrive\BYU\2018 Fall\STRAT 391\Capsim\forecast\"/>
    </mc:Choice>
  </mc:AlternateContent>
  <xr:revisionPtr revIDLastSave="123" documentId="13_ncr:1_{B4D6E678-6653-48C2-8632-58B6DA48405F}" xr6:coauthVersionLast="38" xr6:coauthVersionMax="38" xr10:uidLastSave="{E3843475-7C0D-4AA1-91F4-92CC17632180}"/>
  <bookViews>
    <workbookView xWindow="0" yWindow="0" windowWidth="19200" windowHeight="11595" activeTab="1" xr2:uid="{00000000-000D-0000-FFFF-FFFF00000000}"/>
  </bookViews>
  <sheets>
    <sheet name="forecaster" sheetId="3" r:id="rId1"/>
    <sheet name="survey score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8" i="4" l="1"/>
  <c r="D38" i="4"/>
  <c r="O21" i="4"/>
  <c r="Z19" i="4"/>
  <c r="D18" i="4"/>
  <c r="S38" i="4" l="1"/>
  <c r="AD19" i="4"/>
  <c r="H38" i="4"/>
  <c r="H18" i="4"/>
  <c r="S21" i="4"/>
  <c r="D39" i="4" l="1"/>
  <c r="AA19" i="4"/>
  <c r="AB19" i="4" s="1"/>
  <c r="Z20" i="4"/>
  <c r="AC20" i="4" s="1"/>
  <c r="AD20" i="4" s="1"/>
  <c r="Z18" i="4"/>
  <c r="Z21" i="4"/>
  <c r="AA21" i="4" s="1"/>
  <c r="AB21" i="4" s="1"/>
  <c r="O18" i="4"/>
  <c r="R18" i="4" s="1"/>
  <c r="S18" i="4" s="1"/>
  <c r="O19" i="4"/>
  <c r="O20" i="4"/>
  <c r="R20" i="4" s="1"/>
  <c r="S20" i="4" s="1"/>
  <c r="P21" i="4"/>
  <c r="Q21" i="4" s="1"/>
  <c r="O39" i="4"/>
  <c r="R39" i="4" s="1"/>
  <c r="S39" i="4" s="1"/>
  <c r="O37" i="4"/>
  <c r="O40" i="4"/>
  <c r="R40" i="4" s="1"/>
  <c r="S40" i="4" s="1"/>
  <c r="P38" i="4"/>
  <c r="Q38" i="4" s="1"/>
  <c r="D40" i="4"/>
  <c r="G40" i="4" s="1"/>
  <c r="H40" i="4" s="1"/>
  <c r="D37" i="4"/>
  <c r="E37" i="4" s="1"/>
  <c r="F37" i="4" s="1"/>
  <c r="E38" i="4"/>
  <c r="F38" i="4" s="1"/>
  <c r="E18" i="4"/>
  <c r="D19" i="4"/>
  <c r="E19" i="4" s="1"/>
  <c r="F19" i="4" s="1"/>
  <c r="D21" i="4"/>
  <c r="G21" i="4" s="1"/>
  <c r="H21" i="4" s="1"/>
  <c r="D20" i="4"/>
  <c r="E20" i="4" l="1"/>
  <c r="F20" i="4" s="1"/>
  <c r="G20" i="4"/>
  <c r="H20" i="4" s="1"/>
  <c r="P19" i="4"/>
  <c r="Q19" i="4" s="1"/>
  <c r="R19" i="4"/>
  <c r="S19" i="4" s="1"/>
  <c r="E39" i="4"/>
  <c r="F39" i="4" s="1"/>
  <c r="G39" i="4"/>
  <c r="H39" i="4" s="1"/>
  <c r="P37" i="4"/>
  <c r="Q37" i="4" s="1"/>
  <c r="R37" i="4"/>
  <c r="S37" i="4" s="1"/>
  <c r="AA18" i="4"/>
  <c r="AB18" i="4" s="1"/>
  <c r="AC18" i="4"/>
  <c r="AD18" i="4" s="1"/>
  <c r="G37" i="4"/>
  <c r="H37" i="4" s="1"/>
  <c r="G19" i="4"/>
  <c r="H19" i="4" s="1"/>
  <c r="AC21" i="4"/>
  <c r="AD21" i="4" s="1"/>
  <c r="AA20" i="4"/>
  <c r="AB20" i="4" s="1"/>
  <c r="P20" i="4"/>
  <c r="Q20" i="4" s="1"/>
  <c r="P18" i="4"/>
  <c r="Q18" i="4" s="1"/>
  <c r="P40" i="4"/>
  <c r="Q40" i="4" s="1"/>
  <c r="P39" i="4"/>
  <c r="Q39" i="4" s="1"/>
  <c r="E40" i="4"/>
  <c r="F40" i="4" s="1"/>
  <c r="F18" i="4"/>
  <c r="E21" i="4"/>
  <c r="F21" i="4" s="1"/>
  <c r="W37" i="3"/>
  <c r="W38" i="3"/>
  <c r="W39" i="3"/>
  <c r="W40" i="3"/>
  <c r="AG17" i="4" l="1"/>
  <c r="AG18" i="4" s="1"/>
  <c r="AG19" i="4" s="1"/>
  <c r="AG20" i="4" s="1"/>
  <c r="V17" i="4"/>
  <c r="V18" i="4" s="1"/>
  <c r="V19" i="4" s="1"/>
  <c r="V20" i="4" s="1"/>
  <c r="V36" i="4"/>
  <c r="V37" i="4" s="1"/>
  <c r="V38" i="4" s="1"/>
  <c r="V39" i="4" s="1"/>
  <c r="K36" i="4"/>
  <c r="K37" i="4" s="1"/>
  <c r="K38" i="4" s="1"/>
  <c r="K39" i="4" s="1"/>
  <c r="K17" i="4"/>
  <c r="K18" i="4" s="1"/>
  <c r="K19" i="4" s="1"/>
  <c r="K20" i="4" s="1"/>
  <c r="Y40" i="3"/>
  <c r="Y39" i="3"/>
  <c r="Y38" i="3"/>
  <c r="Y37" i="3"/>
  <c r="W24" i="3"/>
  <c r="AC4" i="3"/>
  <c r="M24" i="3"/>
  <c r="S4" i="3"/>
  <c r="M50" i="3"/>
  <c r="S30" i="3"/>
  <c r="C50" i="3"/>
  <c r="I30" i="3"/>
  <c r="C24" i="3"/>
  <c r="I4" i="3"/>
  <c r="AG21" i="4" l="1"/>
  <c r="V40" i="4"/>
  <c r="V21" i="4"/>
  <c r="K21" i="4"/>
  <c r="K40" i="4"/>
  <c r="Z39" i="3"/>
  <c r="AA39" i="3"/>
  <c r="Z40" i="3"/>
  <c r="AA40" i="3"/>
  <c r="Z37" i="3"/>
  <c r="AA37" i="3"/>
  <c r="AA38" i="3"/>
  <c r="Z38" i="3"/>
  <c r="N5" i="3"/>
  <c r="P5" i="3" s="1"/>
  <c r="N9" i="3"/>
  <c r="P9" i="3" s="1"/>
  <c r="N13" i="3"/>
  <c r="P13" i="3" s="1"/>
  <c r="N17" i="3"/>
  <c r="P17" i="3" s="1"/>
  <c r="N21" i="3"/>
  <c r="P21" i="3" s="1"/>
  <c r="N6" i="3"/>
  <c r="P6" i="3" s="1"/>
  <c r="N10" i="3"/>
  <c r="P10" i="3" s="1"/>
  <c r="N14" i="3"/>
  <c r="P14" i="3" s="1"/>
  <c r="N18" i="3"/>
  <c r="N22" i="3"/>
  <c r="N11" i="3"/>
  <c r="P11" i="3" s="1"/>
  <c r="N19" i="3"/>
  <c r="P19" i="3" s="1"/>
  <c r="N12" i="3"/>
  <c r="N20" i="3"/>
  <c r="P20" i="3" s="1"/>
  <c r="N7" i="3"/>
  <c r="N15" i="3"/>
  <c r="P15" i="3" s="1"/>
  <c r="N23" i="3"/>
  <c r="P23" i="3" s="1"/>
  <c r="N8" i="3"/>
  <c r="P8" i="3" s="1"/>
  <c r="N16" i="3"/>
  <c r="N4" i="3"/>
  <c r="P4" i="3" s="1"/>
  <c r="P18" i="3"/>
  <c r="P22" i="3"/>
  <c r="P7" i="3"/>
  <c r="P16" i="3"/>
  <c r="P12" i="3"/>
  <c r="D8" i="3"/>
  <c r="F8" i="3" s="1"/>
  <c r="D12" i="3"/>
  <c r="F12" i="3" s="1"/>
  <c r="D16" i="3"/>
  <c r="F16" i="3" s="1"/>
  <c r="D20" i="3"/>
  <c r="F20" i="3" s="1"/>
  <c r="D4" i="3"/>
  <c r="D5" i="3"/>
  <c r="F5" i="3" s="1"/>
  <c r="D9" i="3"/>
  <c r="F9" i="3" s="1"/>
  <c r="D14" i="3"/>
  <c r="F14" i="3" s="1"/>
  <c r="D19" i="3"/>
  <c r="F19" i="3" s="1"/>
  <c r="D10" i="3"/>
  <c r="F10" i="3" s="1"/>
  <c r="D15" i="3"/>
  <c r="F15" i="3" s="1"/>
  <c r="D21" i="3"/>
  <c r="F21" i="3" s="1"/>
  <c r="D6" i="3"/>
  <c r="F6" i="3" s="1"/>
  <c r="D11" i="3"/>
  <c r="F11" i="3" s="1"/>
  <c r="D17" i="3"/>
  <c r="F17" i="3" s="1"/>
  <c r="D22" i="3"/>
  <c r="F22" i="3" s="1"/>
  <c r="D7" i="3"/>
  <c r="F7" i="3" s="1"/>
  <c r="D13" i="3"/>
  <c r="F13" i="3" s="1"/>
  <c r="D18" i="3"/>
  <c r="F18" i="3" s="1"/>
  <c r="D23" i="3"/>
  <c r="F23" i="3" s="1"/>
  <c r="N49" i="3"/>
  <c r="P49" i="3" s="1"/>
  <c r="N45" i="3"/>
  <c r="P45" i="3" s="1"/>
  <c r="N41" i="3"/>
  <c r="P41" i="3" s="1"/>
  <c r="N37" i="3"/>
  <c r="P37" i="3" s="1"/>
  <c r="N33" i="3"/>
  <c r="P33" i="3" s="1"/>
  <c r="N48" i="3"/>
  <c r="P48" i="3" s="1"/>
  <c r="N44" i="3"/>
  <c r="P44" i="3" s="1"/>
  <c r="N40" i="3"/>
  <c r="P40" i="3" s="1"/>
  <c r="N36" i="3"/>
  <c r="P36" i="3" s="1"/>
  <c r="N32" i="3"/>
  <c r="P32" i="3" s="1"/>
  <c r="N47" i="3"/>
  <c r="P47" i="3" s="1"/>
  <c r="N39" i="3"/>
  <c r="P39" i="3" s="1"/>
  <c r="N31" i="3"/>
  <c r="P31" i="3" s="1"/>
  <c r="W36" i="3" s="1"/>
  <c r="N46" i="3"/>
  <c r="P46" i="3" s="1"/>
  <c r="N38" i="3"/>
  <c r="P38" i="3" s="1"/>
  <c r="N30" i="3"/>
  <c r="P30" i="3" s="1"/>
  <c r="N43" i="3"/>
  <c r="P43" i="3" s="1"/>
  <c r="N35" i="3"/>
  <c r="P35" i="3" s="1"/>
  <c r="N42" i="3"/>
  <c r="P42" i="3" s="1"/>
  <c r="N34" i="3"/>
  <c r="P34" i="3" s="1"/>
  <c r="X20" i="3"/>
  <c r="Z20" i="3" s="1"/>
  <c r="X16" i="3"/>
  <c r="Z16" i="3" s="1"/>
  <c r="X12" i="3"/>
  <c r="Z12" i="3" s="1"/>
  <c r="X8" i="3"/>
  <c r="Z8" i="3" s="1"/>
  <c r="X4" i="3"/>
  <c r="X23" i="3"/>
  <c r="Z23" i="3" s="1"/>
  <c r="X19" i="3"/>
  <c r="Z19" i="3" s="1"/>
  <c r="X15" i="3"/>
  <c r="Z15" i="3" s="1"/>
  <c r="X11" i="3"/>
  <c r="Z11" i="3" s="1"/>
  <c r="X7" i="3"/>
  <c r="Z7" i="3" s="1"/>
  <c r="X22" i="3"/>
  <c r="Z22" i="3" s="1"/>
  <c r="X14" i="3"/>
  <c r="Z14" i="3" s="1"/>
  <c r="X6" i="3"/>
  <c r="Z6" i="3" s="1"/>
  <c r="X21" i="3"/>
  <c r="Z21" i="3" s="1"/>
  <c r="X13" i="3"/>
  <c r="Z13" i="3" s="1"/>
  <c r="X5" i="3"/>
  <c r="Z5" i="3" s="1"/>
  <c r="X18" i="3"/>
  <c r="Z18" i="3" s="1"/>
  <c r="X10" i="3"/>
  <c r="Z10" i="3" s="1"/>
  <c r="X17" i="3"/>
  <c r="Z17" i="3" s="1"/>
  <c r="X9" i="3"/>
  <c r="Z9" i="3" s="1"/>
  <c r="D34" i="3"/>
  <c r="F34" i="3" s="1"/>
  <c r="D38" i="3"/>
  <c r="F38" i="3" s="1"/>
  <c r="D42" i="3"/>
  <c r="F42" i="3" s="1"/>
  <c r="D46" i="3"/>
  <c r="F46" i="3" s="1"/>
  <c r="D30" i="3"/>
  <c r="D31" i="3"/>
  <c r="F31" i="3" s="1"/>
  <c r="D35" i="3"/>
  <c r="F35" i="3" s="1"/>
  <c r="D39" i="3"/>
  <c r="F39" i="3" s="1"/>
  <c r="D43" i="3"/>
  <c r="F43" i="3" s="1"/>
  <c r="D47" i="3"/>
  <c r="F47" i="3" s="1"/>
  <c r="D32" i="3"/>
  <c r="F32" i="3" s="1"/>
  <c r="D36" i="3"/>
  <c r="F36" i="3" s="1"/>
  <c r="D40" i="3"/>
  <c r="F40" i="3" s="1"/>
  <c r="D44" i="3"/>
  <c r="F44" i="3" s="1"/>
  <c r="D48" i="3"/>
  <c r="F48" i="3" s="1"/>
  <c r="D33" i="3"/>
  <c r="F33" i="3" s="1"/>
  <c r="D37" i="3"/>
  <c r="F37" i="3" s="1"/>
  <c r="D41" i="3"/>
  <c r="F41" i="3" s="1"/>
  <c r="D45" i="3"/>
  <c r="F45" i="3" s="1"/>
  <c r="D49" i="3"/>
  <c r="F49" i="3" s="1"/>
  <c r="W34" i="3" l="1"/>
  <c r="W35" i="3"/>
  <c r="Y36" i="3"/>
  <c r="W32" i="3"/>
  <c r="Y32" i="3" s="1"/>
  <c r="Z32" i="3" s="1"/>
  <c r="N24" i="3"/>
  <c r="P24" i="3" s="1"/>
  <c r="X24" i="3"/>
  <c r="Z24" i="3" s="1"/>
  <c r="D24" i="3"/>
  <c r="F24" i="3" s="1"/>
  <c r="N50" i="3"/>
  <c r="P50" i="3" s="1"/>
  <c r="F4" i="3"/>
  <c r="Z4" i="3"/>
  <c r="D50" i="3"/>
  <c r="F50" i="3" s="1"/>
  <c r="F30" i="3"/>
  <c r="W33" i="3" s="1"/>
  <c r="Z36" i="3" l="1"/>
  <c r="AA36" i="3"/>
  <c r="Y33" i="3"/>
  <c r="AA32" i="3"/>
  <c r="Y35" i="3"/>
  <c r="Y34" i="3"/>
  <c r="AA34" i="3" l="1"/>
  <c r="Z34" i="3"/>
  <c r="Z35" i="3"/>
  <c r="AA35" i="3"/>
  <c r="Z33" i="3"/>
  <c r="AA33" i="3"/>
</calcChain>
</file>

<file path=xl/sharedStrings.xml><?xml version="1.0" encoding="utf-8"?>
<sst xmlns="http://schemas.openxmlformats.org/spreadsheetml/2006/main" count="312" uniqueCount="91">
  <si>
    <t>Name</t>
  </si>
  <si>
    <t xml:space="preserve">Survey </t>
  </si>
  <si>
    <t>Total</t>
  </si>
  <si>
    <t>Industry</t>
  </si>
  <si>
    <t>Growth</t>
  </si>
  <si>
    <t>Next Year</t>
  </si>
  <si>
    <t>Market:</t>
  </si>
  <si>
    <t>Traditional</t>
  </si>
  <si>
    <t>cake</t>
  </si>
  <si>
    <t>baker</t>
  </si>
  <si>
    <t>able</t>
  </si>
  <si>
    <t>daze</t>
  </si>
  <si>
    <t>eat</t>
  </si>
  <si>
    <t>fast</t>
  </si>
  <si>
    <t>acre</t>
  </si>
  <si>
    <t>bead</t>
  </si>
  <si>
    <t>cedar</t>
  </si>
  <si>
    <t>dell</t>
  </si>
  <si>
    <t>feat</t>
  </si>
  <si>
    <t>ebb</t>
  </si>
  <si>
    <t>Low End</t>
  </si>
  <si>
    <t>High End</t>
  </si>
  <si>
    <t>Performance</t>
  </si>
  <si>
    <t>Size</t>
  </si>
  <si>
    <t>adam</t>
  </si>
  <si>
    <t>bid</t>
  </si>
  <si>
    <t>cid</t>
  </si>
  <si>
    <t>dixie</t>
  </si>
  <si>
    <t>echo</t>
  </si>
  <si>
    <t>fist</t>
  </si>
  <si>
    <t>aft</t>
  </si>
  <si>
    <t>bold</t>
  </si>
  <si>
    <t>coat</t>
  </si>
  <si>
    <t>dot</t>
  </si>
  <si>
    <t>edge</t>
  </si>
  <si>
    <t>foam</t>
  </si>
  <si>
    <t>agape</t>
  </si>
  <si>
    <t>buddy</t>
  </si>
  <si>
    <t>cure</t>
  </si>
  <si>
    <t>dune</t>
  </si>
  <si>
    <t>fume</t>
  </si>
  <si>
    <t xml:space="preserve"> </t>
  </si>
  <si>
    <t>Segment:</t>
  </si>
  <si>
    <t>Months</t>
  </si>
  <si>
    <t>-</t>
  </si>
  <si>
    <t>Worst</t>
  </si>
  <si>
    <t>Best</t>
  </si>
  <si>
    <t>Buffer</t>
  </si>
  <si>
    <t>Prfm.</t>
  </si>
  <si>
    <t>Share %</t>
  </si>
  <si>
    <t>Share #</t>
  </si>
  <si>
    <t>Summary</t>
  </si>
  <si>
    <t>Total * Prfm.</t>
  </si>
  <si>
    <t>evv</t>
  </si>
  <si>
    <t>are</t>
  </si>
  <si>
    <t>egg</t>
  </si>
  <si>
    <t>Age</t>
  </si>
  <si>
    <t>Price</t>
  </si>
  <si>
    <t>Position</t>
  </si>
  <si>
    <t>Reliability</t>
  </si>
  <si>
    <t>Score</t>
  </si>
  <si>
    <t>Awareness</t>
  </si>
  <si>
    <t>A/R</t>
  </si>
  <si>
    <t>Discount</t>
  </si>
  <si>
    <t>Adjusted</t>
  </si>
  <si>
    <t>Prfmn</t>
  </si>
  <si>
    <t>MTBF</t>
  </si>
  <si>
    <t>Accessibility</t>
  </si>
  <si>
    <t>Ideal Age</t>
  </si>
  <si>
    <t>Floor Price</t>
  </si>
  <si>
    <t>Ceiling Price</t>
  </si>
  <si>
    <t>Age Offset</t>
  </si>
  <si>
    <t>Ideal Prfmn</t>
  </si>
  <si>
    <t>Ideal Size</t>
  </si>
  <si>
    <t>Ceiling MTBF</t>
  </si>
  <si>
    <t>Floor MTBF</t>
  </si>
  <si>
    <t>Pecentile</t>
  </si>
  <si>
    <t>A/R Days</t>
  </si>
  <si>
    <t>After A/R Discount</t>
  </si>
  <si>
    <t>After Promotion Discount</t>
  </si>
  <si>
    <t>Penalty</t>
  </si>
  <si>
    <t>After Penalty</t>
  </si>
  <si>
    <t>Adjusted Percentile</t>
  </si>
  <si>
    <t>Weight</t>
  </si>
  <si>
    <t>accurate</t>
  </si>
  <si>
    <t>higher than actual by 10 over</t>
  </si>
  <si>
    <t>higher than actual by 5-10</t>
  </si>
  <si>
    <t>position is not outside of circle</t>
  </si>
  <si>
    <t>price is not lower than floor</t>
  </si>
  <si>
    <t>The higher the score is, the large the variance is (higher than actual), confirm it with round 0 data</t>
  </si>
  <si>
    <t>Adjusted Panalty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</si>
</sst>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2" borderId="0" xfId="0" applyFont="1" applyFill="1" applyBorder="1"/>
    <xf numFmtId="0" fontId="2" fillId="0" borderId="0" xfId="0" applyFont="1" applyFill="1" applyBorder="1"/>
    <xf numFmtId="9" fontId="2" fillId="0" borderId="0" xfId="1" applyFont="1" applyFill="1" applyBorder="1"/>
    <xf numFmtId="164" fontId="2" fillId="0" borderId="0" xfId="0" applyNumberFormat="1" applyFont="1" applyFill="1" applyBorder="1"/>
    <xf numFmtId="0" fontId="2" fillId="0" borderId="2" xfId="0" applyFont="1" applyFill="1" applyBorder="1"/>
    <xf numFmtId="164" fontId="0" fillId="2" borderId="3" xfId="0" applyNumberFormat="1" applyFont="1" applyFill="1" applyBorder="1"/>
    <xf numFmtId="10" fontId="1" fillId="0" borderId="3" xfId="1" applyNumberFormat="1" applyFont="1" applyFill="1" applyBorder="1"/>
    <xf numFmtId="9" fontId="2" fillId="0" borderId="2" xfId="1" applyFont="1" applyFill="1" applyBorder="1"/>
    <xf numFmtId="164" fontId="0" fillId="0" borderId="3" xfId="0" applyNumberFormat="1" applyFont="1" applyFill="1" applyBorder="1"/>
    <xf numFmtId="164" fontId="2" fillId="0" borderId="2" xfId="0" applyNumberFormat="1" applyFont="1" applyFill="1" applyBorder="1"/>
    <xf numFmtId="0" fontId="0" fillId="2" borderId="2" xfId="0" applyFont="1" applyFill="1" applyBorder="1"/>
    <xf numFmtId="0" fontId="0" fillId="0" borderId="2" xfId="0" applyFont="1" applyFill="1" applyBorder="1"/>
    <xf numFmtId="0" fontId="2" fillId="0" borderId="4" xfId="0" applyFont="1" applyFill="1" applyBorder="1"/>
    <xf numFmtId="0" fontId="0" fillId="2" borderId="6" xfId="0" applyFont="1" applyFill="1" applyBorder="1"/>
    <xf numFmtId="164" fontId="0" fillId="2" borderId="5" xfId="0" applyNumberFormat="1" applyFont="1" applyFill="1" applyBorder="1"/>
    <xf numFmtId="10" fontId="1" fillId="0" borderId="5" xfId="1" applyNumberFormat="1" applyFont="1" applyFill="1" applyBorder="1"/>
    <xf numFmtId="164" fontId="0" fillId="0" borderId="5" xfId="0" applyNumberFormat="1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0" borderId="1" xfId="0" applyFont="1" applyFill="1" applyBorder="1"/>
    <xf numFmtId="0" fontId="2" fillId="3" borderId="7" xfId="0" applyFont="1" applyFill="1" applyBorder="1"/>
    <xf numFmtId="0" fontId="2" fillId="3" borderId="1" xfId="0" applyFont="1" applyFill="1" applyBorder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65" fontId="0" fillId="2" borderId="2" xfId="0" applyNumberFormat="1" applyFont="1" applyFill="1" applyBorder="1"/>
    <xf numFmtId="165" fontId="2" fillId="0" borderId="0" xfId="1" applyNumberFormat="1" applyFont="1" applyFill="1" applyAlignment="1">
      <alignment vertical="center"/>
    </xf>
    <xf numFmtId="1" fontId="0" fillId="0" borderId="0" xfId="0" applyNumberFormat="1" applyFill="1" applyAlignment="1">
      <alignment vertical="center"/>
    </xf>
    <xf numFmtId="1" fontId="0" fillId="0" borderId="0" xfId="0" applyNumberFormat="1" applyFont="1" applyFill="1" applyBorder="1"/>
    <xf numFmtId="1" fontId="2" fillId="3" borderId="1" xfId="0" applyNumberFormat="1" applyFont="1" applyFill="1" applyBorder="1"/>
    <xf numFmtId="1" fontId="2" fillId="0" borderId="2" xfId="1" applyNumberFormat="1" applyFont="1" applyFill="1" applyBorder="1" applyAlignment="1">
      <alignment horizontal="center"/>
    </xf>
    <xf numFmtId="1" fontId="2" fillId="0" borderId="0" xfId="1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ill="1"/>
    <xf numFmtId="1" fontId="1" fillId="2" borderId="3" xfId="1" applyNumberFormat="1" applyFont="1" applyFill="1" applyBorder="1"/>
    <xf numFmtId="1" fontId="1" fillId="2" borderId="5" xfId="1" applyNumberFormat="1" applyFont="1" applyFill="1" applyBorder="1"/>
    <xf numFmtId="0" fontId="0" fillId="4" borderId="0" xfId="0" applyFont="1" applyFill="1" applyAlignment="1">
      <alignment vertical="center"/>
    </xf>
    <xf numFmtId="0" fontId="0" fillId="4" borderId="0" xfId="0" applyFont="1" applyFill="1"/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0" fontId="4" fillId="4" borderId="0" xfId="0" applyFont="1" applyFill="1" applyBorder="1"/>
    <xf numFmtId="0" fontId="5" fillId="4" borderId="10" xfId="0" applyFont="1" applyFill="1" applyBorder="1"/>
    <xf numFmtId="164" fontId="5" fillId="4" borderId="3" xfId="0" applyNumberFormat="1" applyFont="1" applyFill="1" applyBorder="1"/>
    <xf numFmtId="0" fontId="5" fillId="4" borderId="3" xfId="0" applyFont="1" applyFill="1" applyBorder="1"/>
    <xf numFmtId="164" fontId="5" fillId="4" borderId="2" xfId="0" applyNumberFormat="1" applyFont="1" applyFill="1" applyBorder="1"/>
    <xf numFmtId="0" fontId="5" fillId="4" borderId="2" xfId="0" applyFont="1" applyFill="1" applyBorder="1"/>
    <xf numFmtId="0" fontId="4" fillId="5" borderId="1" xfId="0" applyFont="1" applyFill="1" applyBorder="1"/>
    <xf numFmtId="0" fontId="4" fillId="5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9" fontId="5" fillId="6" borderId="0" xfId="1" applyFont="1" applyFill="1" applyBorder="1"/>
    <xf numFmtId="9" fontId="5" fillId="6" borderId="4" xfId="1" applyFont="1" applyFill="1" applyBorder="1"/>
    <xf numFmtId="0" fontId="5" fillId="6" borderId="0" xfId="0" applyFont="1" applyFill="1"/>
    <xf numFmtId="0" fontId="2" fillId="3" borderId="0" xfId="0" applyFont="1" applyFill="1" applyBorder="1"/>
    <xf numFmtId="9" fontId="0" fillId="2" borderId="0" xfId="1" applyFont="1" applyFill="1" applyBorder="1"/>
    <xf numFmtId="2" fontId="0" fillId="2" borderId="0" xfId="1" applyNumberFormat="1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Border="1"/>
    <xf numFmtId="164" fontId="0" fillId="2" borderId="0" xfId="0" applyNumberFormat="1" applyFill="1" applyBorder="1"/>
    <xf numFmtId="2" fontId="0" fillId="2" borderId="0" xfId="0" applyNumberFormat="1" applyFill="1" applyBorder="1"/>
    <xf numFmtId="0" fontId="0" fillId="2" borderId="0" xfId="0" applyFill="1" applyBorder="1"/>
    <xf numFmtId="1" fontId="0" fillId="2" borderId="0" xfId="0" applyNumberFormat="1" applyFill="1" applyBorder="1"/>
    <xf numFmtId="9" fontId="0" fillId="0" borderId="0" xfId="1" applyFont="1" applyBorder="1"/>
    <xf numFmtId="2" fontId="0" fillId="0" borderId="0" xfId="0" applyNumberFormat="1" applyBorder="1"/>
    <xf numFmtId="0" fontId="0" fillId="0" borderId="0" xfId="0" applyFill="1" applyBorder="1"/>
    <xf numFmtId="0" fontId="4" fillId="7" borderId="0" xfId="0" applyFont="1" applyFill="1" applyBorder="1"/>
    <xf numFmtId="164" fontId="0" fillId="0" borderId="0" xfId="0" applyNumberFormat="1" applyFill="1" applyBorder="1"/>
    <xf numFmtId="2" fontId="6" fillId="0" borderId="0" xfId="0" applyNumberFormat="1" applyFont="1" applyFill="1" applyBorder="1"/>
    <xf numFmtId="9" fontId="0" fillId="0" borderId="0" xfId="1" applyFont="1" applyFill="1" applyBorder="1" applyAlignment="1">
      <alignment horizontal="right"/>
    </xf>
    <xf numFmtId="9" fontId="0" fillId="0" borderId="0" xfId="1" applyNumberFormat="1" applyFont="1" applyFill="1" applyBorder="1" applyAlignment="1">
      <alignment horizontal="right"/>
    </xf>
    <xf numFmtId="9" fontId="0" fillId="0" borderId="0" xfId="1" applyNumberFormat="1" applyFont="1" applyBorder="1" applyAlignment="1">
      <alignment horizontal="right"/>
    </xf>
    <xf numFmtId="2" fontId="0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419D-BE3C-48FC-A465-7E6025DD9903}">
  <dimension ref="A1:AC53"/>
  <sheetViews>
    <sheetView zoomScale="70" zoomScaleNormal="70" workbookViewId="0">
      <selection activeCell="B1" sqref="B1:C1"/>
    </sheetView>
  </sheetViews>
  <sheetFormatPr defaultRowHeight="14.25" x14ac:dyDescent="0.45"/>
  <cols>
    <col min="1" max="1" width="2.73046875" style="4" bestFit="1" customWidth="1"/>
    <col min="2" max="4" width="9.06640625" style="4"/>
    <col min="5" max="5" width="9.06640625" style="39"/>
    <col min="6" max="10" width="9.06640625" style="4"/>
    <col min="11" max="11" width="2.73046875" style="4" bestFit="1" customWidth="1"/>
    <col min="12" max="20" width="9.06640625" style="4"/>
    <col min="21" max="21" width="2.73046875" style="4" bestFit="1" customWidth="1"/>
    <col min="22" max="22" width="9.06640625" style="4"/>
    <col min="23" max="23" width="9.265625" style="4" bestFit="1" customWidth="1"/>
    <col min="24" max="16384" width="9.06640625" style="4"/>
  </cols>
  <sheetData>
    <row r="1" spans="1:29" s="27" customFormat="1" ht="28.6" customHeight="1" x14ac:dyDescent="0.45">
      <c r="B1" s="30" t="s">
        <v>6</v>
      </c>
      <c r="C1" s="28" t="s">
        <v>7</v>
      </c>
      <c r="D1" s="27" t="s">
        <v>41</v>
      </c>
      <c r="E1" s="33"/>
      <c r="F1" s="30" t="s">
        <v>42</v>
      </c>
      <c r="G1" s="32">
        <v>0.32400000000000001</v>
      </c>
      <c r="L1" s="30" t="s">
        <v>6</v>
      </c>
      <c r="M1" s="28" t="s">
        <v>22</v>
      </c>
      <c r="P1" s="30" t="s">
        <v>42</v>
      </c>
      <c r="Q1" s="32">
        <v>8.4000000000000005E-2</v>
      </c>
      <c r="V1" s="30" t="s">
        <v>6</v>
      </c>
      <c r="W1" s="28" t="s">
        <v>23</v>
      </c>
      <c r="Z1" s="30" t="s">
        <v>42</v>
      </c>
      <c r="AA1" s="32">
        <v>8.6999999999999994E-2</v>
      </c>
    </row>
    <row r="2" spans="1:29" s="2" customFormat="1" ht="14.25" customHeight="1" x14ac:dyDescent="0.7">
      <c r="A2" s="1"/>
      <c r="C2" s="3"/>
      <c r="D2" s="3"/>
      <c r="E2" s="34"/>
      <c r="F2" s="3"/>
      <c r="G2" s="3"/>
      <c r="H2" s="3"/>
      <c r="I2" s="3"/>
      <c r="K2" s="1"/>
      <c r="M2" s="3"/>
      <c r="N2" s="3"/>
      <c r="O2" s="3"/>
      <c r="P2" s="3"/>
      <c r="Q2" s="3"/>
      <c r="R2" s="3"/>
      <c r="S2" s="3"/>
      <c r="U2" s="1"/>
      <c r="W2" s="3"/>
      <c r="X2" s="3"/>
      <c r="Y2" s="3"/>
      <c r="Z2" s="3"/>
      <c r="AA2" s="3"/>
      <c r="AB2" s="3"/>
      <c r="AC2" s="3"/>
    </row>
    <row r="3" spans="1:29" s="2" customFormat="1" ht="14.35" customHeight="1" x14ac:dyDescent="0.45">
      <c r="A3" s="24"/>
      <c r="B3" s="25" t="s">
        <v>0</v>
      </c>
      <c r="C3" s="26" t="s">
        <v>1</v>
      </c>
      <c r="D3" s="26" t="s">
        <v>49</v>
      </c>
      <c r="E3" s="35" t="s">
        <v>43</v>
      </c>
      <c r="F3" s="26" t="s">
        <v>50</v>
      </c>
      <c r="G3" s="26" t="s">
        <v>3</v>
      </c>
      <c r="H3" s="26" t="s">
        <v>4</v>
      </c>
      <c r="I3" s="26" t="s">
        <v>5</v>
      </c>
      <c r="K3" s="24"/>
      <c r="L3" s="25" t="s">
        <v>0</v>
      </c>
      <c r="M3" s="26" t="s">
        <v>1</v>
      </c>
      <c r="N3" s="26" t="s">
        <v>49</v>
      </c>
      <c r="O3" s="35" t="s">
        <v>43</v>
      </c>
      <c r="P3" s="26" t="s">
        <v>50</v>
      </c>
      <c r="Q3" s="26" t="s">
        <v>3</v>
      </c>
      <c r="R3" s="26" t="s">
        <v>4</v>
      </c>
      <c r="S3" s="26" t="s">
        <v>5</v>
      </c>
      <c r="U3" s="24"/>
      <c r="V3" s="25" t="s">
        <v>0</v>
      </c>
      <c r="W3" s="26" t="s">
        <v>1</v>
      </c>
      <c r="X3" s="26" t="s">
        <v>49</v>
      </c>
      <c r="Y3" s="35" t="s">
        <v>43</v>
      </c>
      <c r="Z3" s="26" t="s">
        <v>50</v>
      </c>
      <c r="AA3" s="26" t="s">
        <v>3</v>
      </c>
      <c r="AB3" s="26" t="s">
        <v>4</v>
      </c>
      <c r="AC3" s="26" t="s">
        <v>5</v>
      </c>
    </row>
    <row r="4" spans="1:29" s="2" customFormat="1" ht="14.35" customHeight="1" x14ac:dyDescent="0.45">
      <c r="A4" s="22">
        <v>1</v>
      </c>
      <c r="B4" s="5" t="s">
        <v>12</v>
      </c>
      <c r="C4" s="10">
        <v>33</v>
      </c>
      <c r="D4" s="11">
        <f>C4/C$24</f>
        <v>0.25</v>
      </c>
      <c r="E4" s="40">
        <v>12</v>
      </c>
      <c r="F4" s="13">
        <f>$I$4*D4*(E4/12)</f>
        <v>2202.2910000000002</v>
      </c>
      <c r="G4" s="15">
        <v>8067</v>
      </c>
      <c r="H4" s="31">
        <v>9.1999999999999998E-2</v>
      </c>
      <c r="I4" s="16">
        <f>G4*(1+H4)</f>
        <v>8809.1640000000007</v>
      </c>
      <c r="K4" s="22">
        <v>1</v>
      </c>
      <c r="L4" s="5" t="s">
        <v>35</v>
      </c>
      <c r="M4" s="10">
        <v>26</v>
      </c>
      <c r="N4" s="11">
        <f>M4/M$24</f>
        <v>0.31325301204819278</v>
      </c>
      <c r="O4" s="40">
        <v>12</v>
      </c>
      <c r="P4" s="13">
        <f>$I$4*N4*(O4/12)</f>
        <v>2759.4971566265062</v>
      </c>
      <c r="Q4" s="15">
        <v>2294</v>
      </c>
      <c r="R4" s="31">
        <v>0.19800000000000001</v>
      </c>
      <c r="S4" s="16">
        <f>Q4*(1+R4)</f>
        <v>2748.212</v>
      </c>
      <c r="U4" s="22">
        <v>1</v>
      </c>
      <c r="V4" s="5" t="s">
        <v>40</v>
      </c>
      <c r="W4" s="10">
        <v>37</v>
      </c>
      <c r="X4" s="11">
        <f>W4/W$24</f>
        <v>0.51388888888888884</v>
      </c>
      <c r="Y4" s="40">
        <v>12</v>
      </c>
      <c r="Z4" s="13">
        <f>$I$4*X4*(Y4/12)</f>
        <v>4526.9314999999997</v>
      </c>
      <c r="AA4" s="15">
        <v>2347</v>
      </c>
      <c r="AB4" s="31">
        <v>0.183</v>
      </c>
      <c r="AC4" s="16">
        <f>AA4*(1+AB4)</f>
        <v>2776.5010000000002</v>
      </c>
    </row>
    <row r="5" spans="1:29" s="2" customFormat="1" ht="14.35" customHeight="1" x14ac:dyDescent="0.45">
      <c r="A5" s="22">
        <v>2</v>
      </c>
      <c r="B5" s="5" t="s">
        <v>13</v>
      </c>
      <c r="C5" s="10">
        <v>31</v>
      </c>
      <c r="D5" s="11">
        <f t="shared" ref="D5:D23" si="0">C5/C$24</f>
        <v>0.23484848484848486</v>
      </c>
      <c r="E5" s="40">
        <v>12</v>
      </c>
      <c r="F5" s="13">
        <f t="shared" ref="F5:F23" si="1">$I$4*D5*(E5/12)</f>
        <v>2068.8188181818186</v>
      </c>
      <c r="G5" s="3"/>
      <c r="H5" s="3"/>
      <c r="I5" s="3"/>
      <c r="K5" s="22">
        <v>2</v>
      </c>
      <c r="L5" s="5" t="s">
        <v>33</v>
      </c>
      <c r="M5" s="10">
        <v>15</v>
      </c>
      <c r="N5" s="11">
        <f t="shared" ref="N5:N23" si="2">M5/M$24</f>
        <v>0.18072289156626506</v>
      </c>
      <c r="O5" s="40">
        <v>12</v>
      </c>
      <c r="P5" s="13">
        <f t="shared" ref="P5:P23" si="3">$I$4*N5*(O5/12)</f>
        <v>1592.0175903614459</v>
      </c>
      <c r="Q5" s="3"/>
      <c r="R5" s="3"/>
      <c r="S5" s="3"/>
      <c r="U5" s="22">
        <v>2</v>
      </c>
      <c r="V5" s="5" t="s">
        <v>39</v>
      </c>
      <c r="W5" s="10">
        <v>6</v>
      </c>
      <c r="X5" s="11">
        <f t="shared" ref="X5:X23" si="4">W5/W$24</f>
        <v>8.3333333333333329E-2</v>
      </c>
      <c r="Y5" s="40">
        <v>12</v>
      </c>
      <c r="Z5" s="13">
        <f t="shared" ref="Z5:Z23" si="5">$I$4*X5*(Y5/12)</f>
        <v>734.09699999999998</v>
      </c>
      <c r="AA5" s="3"/>
      <c r="AB5" s="3"/>
      <c r="AC5" s="3"/>
    </row>
    <row r="6" spans="1:29" s="2" customFormat="1" ht="14.35" customHeight="1" x14ac:dyDescent="0.45">
      <c r="A6" s="22">
        <v>3</v>
      </c>
      <c r="B6" s="5" t="s">
        <v>9</v>
      </c>
      <c r="C6" s="10">
        <v>24</v>
      </c>
      <c r="D6" s="11">
        <f t="shared" si="0"/>
        <v>0.18181818181818182</v>
      </c>
      <c r="E6" s="40">
        <v>12</v>
      </c>
      <c r="F6" s="13">
        <f t="shared" si="1"/>
        <v>1601.6661818181819</v>
      </c>
      <c r="G6" s="3"/>
      <c r="H6" s="3"/>
      <c r="I6" s="3"/>
      <c r="K6" s="22">
        <v>3</v>
      </c>
      <c r="L6" s="5" t="s">
        <v>30</v>
      </c>
      <c r="M6" s="10">
        <v>15</v>
      </c>
      <c r="N6" s="11">
        <f t="shared" si="2"/>
        <v>0.18072289156626506</v>
      </c>
      <c r="O6" s="40">
        <v>12</v>
      </c>
      <c r="P6" s="13">
        <f t="shared" si="3"/>
        <v>1592.0175903614459</v>
      </c>
      <c r="Q6" s="3"/>
      <c r="R6" s="3"/>
      <c r="S6" s="3"/>
      <c r="U6" s="22">
        <v>3</v>
      </c>
      <c r="V6" s="5" t="s">
        <v>55</v>
      </c>
      <c r="W6" s="10">
        <v>6</v>
      </c>
      <c r="X6" s="11">
        <f t="shared" si="4"/>
        <v>8.3333333333333329E-2</v>
      </c>
      <c r="Y6" s="40">
        <v>12</v>
      </c>
      <c r="Z6" s="13">
        <f t="shared" si="5"/>
        <v>734.09699999999998</v>
      </c>
      <c r="AA6" s="3"/>
      <c r="AB6" s="3"/>
      <c r="AC6" s="3"/>
    </row>
    <row r="7" spans="1:29" s="2" customFormat="1" ht="14.35" customHeight="1" x14ac:dyDescent="0.45">
      <c r="A7" s="22">
        <v>4</v>
      </c>
      <c r="B7" s="5" t="s">
        <v>10</v>
      </c>
      <c r="C7" s="10">
        <v>10</v>
      </c>
      <c r="D7" s="11">
        <f t="shared" si="0"/>
        <v>7.575757575757576E-2</v>
      </c>
      <c r="E7" s="40">
        <v>12</v>
      </c>
      <c r="F7" s="13">
        <f t="shared" si="1"/>
        <v>667.3609090909091</v>
      </c>
      <c r="G7" s="3"/>
      <c r="H7" s="3"/>
      <c r="I7" s="3"/>
      <c r="K7" s="22">
        <v>4</v>
      </c>
      <c r="L7" s="5" t="s">
        <v>34</v>
      </c>
      <c r="M7" s="10">
        <v>12</v>
      </c>
      <c r="N7" s="11">
        <f t="shared" si="2"/>
        <v>0.14457831325301204</v>
      </c>
      <c r="O7" s="40">
        <v>12</v>
      </c>
      <c r="P7" s="13">
        <f t="shared" si="3"/>
        <v>1273.6140722891566</v>
      </c>
      <c r="Q7" s="3"/>
      <c r="R7" s="3"/>
      <c r="S7" s="3"/>
      <c r="U7" s="22">
        <v>4</v>
      </c>
      <c r="V7" s="5" t="s">
        <v>36</v>
      </c>
      <c r="W7" s="10">
        <v>6</v>
      </c>
      <c r="X7" s="11">
        <f t="shared" si="4"/>
        <v>8.3333333333333329E-2</v>
      </c>
      <c r="Y7" s="40">
        <v>12</v>
      </c>
      <c r="Z7" s="13">
        <f t="shared" si="5"/>
        <v>734.09699999999998</v>
      </c>
      <c r="AA7" s="3"/>
      <c r="AB7" s="3"/>
      <c r="AC7" s="3"/>
    </row>
    <row r="8" spans="1:29" s="2" customFormat="1" ht="14.35" customHeight="1" x14ac:dyDescent="0.45">
      <c r="A8" s="22">
        <v>5</v>
      </c>
      <c r="B8" s="5" t="s">
        <v>11</v>
      </c>
      <c r="C8" s="10">
        <v>9</v>
      </c>
      <c r="D8" s="11">
        <f t="shared" si="0"/>
        <v>6.8181818181818177E-2</v>
      </c>
      <c r="E8" s="40">
        <v>12</v>
      </c>
      <c r="F8" s="13">
        <f t="shared" si="1"/>
        <v>600.62481818181823</v>
      </c>
      <c r="G8" s="3"/>
      <c r="H8" s="3"/>
      <c r="I8" s="3"/>
      <c r="K8" s="22">
        <v>5</v>
      </c>
      <c r="L8" s="5" t="s">
        <v>31</v>
      </c>
      <c r="M8" s="10">
        <v>15</v>
      </c>
      <c r="N8" s="11">
        <f t="shared" si="2"/>
        <v>0.18072289156626506</v>
      </c>
      <c r="O8" s="40">
        <v>12</v>
      </c>
      <c r="P8" s="13">
        <f t="shared" si="3"/>
        <v>1592.0175903614459</v>
      </c>
      <c r="Q8" s="3"/>
      <c r="R8" s="3"/>
      <c r="S8" s="3"/>
      <c r="U8" s="22">
        <v>5</v>
      </c>
      <c r="V8" s="5" t="s">
        <v>38</v>
      </c>
      <c r="W8" s="10">
        <v>11</v>
      </c>
      <c r="X8" s="11">
        <f t="shared" si="4"/>
        <v>0.15277777777777779</v>
      </c>
      <c r="Y8" s="40">
        <v>12</v>
      </c>
      <c r="Z8" s="13">
        <f t="shared" si="5"/>
        <v>1345.8445000000002</v>
      </c>
      <c r="AA8" s="3"/>
      <c r="AB8" s="3"/>
      <c r="AC8" s="3"/>
    </row>
    <row r="9" spans="1:29" s="2" customFormat="1" ht="14.35" customHeight="1" x14ac:dyDescent="0.45">
      <c r="A9" s="22">
        <v>6</v>
      </c>
      <c r="B9" s="5" t="s">
        <v>8</v>
      </c>
      <c r="C9" s="10">
        <v>9</v>
      </c>
      <c r="D9" s="11">
        <f t="shared" si="0"/>
        <v>6.8181818181818177E-2</v>
      </c>
      <c r="E9" s="40">
        <v>12</v>
      </c>
      <c r="F9" s="13">
        <f t="shared" si="1"/>
        <v>600.62481818181823</v>
      </c>
      <c r="G9" s="3"/>
      <c r="H9" s="3"/>
      <c r="I9" s="3"/>
      <c r="K9" s="22">
        <v>6</v>
      </c>
      <c r="L9" s="5" t="s">
        <v>32</v>
      </c>
      <c r="M9" s="10">
        <v>0</v>
      </c>
      <c r="N9" s="11">
        <f t="shared" si="2"/>
        <v>0</v>
      </c>
      <c r="O9" s="40">
        <v>12</v>
      </c>
      <c r="P9" s="13">
        <f t="shared" si="3"/>
        <v>0</v>
      </c>
      <c r="Q9" s="3"/>
      <c r="R9" s="3"/>
      <c r="S9" s="3"/>
      <c r="U9" s="22">
        <v>6</v>
      </c>
      <c r="V9" s="5" t="s">
        <v>37</v>
      </c>
      <c r="W9" s="10">
        <v>6</v>
      </c>
      <c r="X9" s="11">
        <f t="shared" si="4"/>
        <v>8.3333333333333329E-2</v>
      </c>
      <c r="Y9" s="40">
        <v>12</v>
      </c>
      <c r="Z9" s="13">
        <f t="shared" si="5"/>
        <v>734.09699999999998</v>
      </c>
      <c r="AA9" s="3"/>
      <c r="AB9" s="3"/>
      <c r="AC9" s="3"/>
    </row>
    <row r="10" spans="1:29" s="2" customFormat="1" ht="14.35" customHeight="1" x14ac:dyDescent="0.45">
      <c r="A10" s="22">
        <v>7</v>
      </c>
      <c r="B10" s="5" t="s">
        <v>17</v>
      </c>
      <c r="C10" s="10">
        <v>1</v>
      </c>
      <c r="D10" s="11">
        <f t="shared" si="0"/>
        <v>7.575757575757576E-3</v>
      </c>
      <c r="E10" s="40">
        <v>12</v>
      </c>
      <c r="F10" s="13">
        <f t="shared" si="1"/>
        <v>66.736090909090919</v>
      </c>
      <c r="G10" s="3"/>
      <c r="H10" s="3"/>
      <c r="I10" s="3"/>
      <c r="K10" s="22">
        <v>7</v>
      </c>
      <c r="L10" s="5" t="s">
        <v>13</v>
      </c>
      <c r="M10" s="10">
        <v>0</v>
      </c>
      <c r="N10" s="11">
        <f t="shared" si="2"/>
        <v>0</v>
      </c>
      <c r="O10" s="40">
        <v>12</v>
      </c>
      <c r="P10" s="13">
        <f t="shared" si="3"/>
        <v>0</v>
      </c>
      <c r="Q10" s="3"/>
      <c r="R10" s="3"/>
      <c r="S10" s="3"/>
      <c r="U10" s="22">
        <v>7</v>
      </c>
      <c r="V10" s="5" t="s">
        <v>13</v>
      </c>
      <c r="W10" s="10">
        <v>0</v>
      </c>
      <c r="X10" s="11">
        <f t="shared" si="4"/>
        <v>0</v>
      </c>
      <c r="Y10" s="40">
        <v>12</v>
      </c>
      <c r="Z10" s="13">
        <f t="shared" si="5"/>
        <v>0</v>
      </c>
      <c r="AA10" s="3"/>
      <c r="AB10" s="3"/>
      <c r="AC10" s="3"/>
    </row>
    <row r="11" spans="1:29" s="2" customFormat="1" ht="14.35" customHeight="1" x14ac:dyDescent="0.45">
      <c r="A11" s="22">
        <v>8</v>
      </c>
      <c r="B11" s="5" t="s">
        <v>16</v>
      </c>
      <c r="C11" s="10">
        <v>0</v>
      </c>
      <c r="D11" s="11">
        <f t="shared" si="0"/>
        <v>0</v>
      </c>
      <c r="E11" s="40">
        <v>12</v>
      </c>
      <c r="F11" s="13">
        <f t="shared" si="1"/>
        <v>0</v>
      </c>
      <c r="G11" s="3"/>
      <c r="H11" s="3"/>
      <c r="I11" s="3"/>
      <c r="K11" s="22">
        <v>8</v>
      </c>
      <c r="L11" s="5" t="s">
        <v>10</v>
      </c>
      <c r="M11" s="10">
        <v>0</v>
      </c>
      <c r="N11" s="11">
        <f t="shared" si="2"/>
        <v>0</v>
      </c>
      <c r="O11" s="40">
        <v>12</v>
      </c>
      <c r="P11" s="13">
        <f t="shared" si="3"/>
        <v>0</v>
      </c>
      <c r="Q11" s="3"/>
      <c r="R11" s="3"/>
      <c r="S11" s="3"/>
      <c r="U11" s="22">
        <v>8</v>
      </c>
      <c r="V11" s="5" t="s">
        <v>12</v>
      </c>
      <c r="W11" s="10">
        <v>0</v>
      </c>
      <c r="X11" s="11">
        <f t="shared" si="4"/>
        <v>0</v>
      </c>
      <c r="Y11" s="40">
        <v>12</v>
      </c>
      <c r="Z11" s="13">
        <f t="shared" si="5"/>
        <v>0</v>
      </c>
      <c r="AA11" s="3"/>
      <c r="AB11" s="3"/>
      <c r="AC11" s="3"/>
    </row>
    <row r="12" spans="1:29" s="2" customFormat="1" ht="14.35" customHeight="1" x14ac:dyDescent="0.45">
      <c r="A12" s="22">
        <v>9</v>
      </c>
      <c r="B12" s="5" t="s">
        <v>19</v>
      </c>
      <c r="C12" s="10">
        <v>1</v>
      </c>
      <c r="D12" s="11">
        <f t="shared" si="0"/>
        <v>7.575757575757576E-3</v>
      </c>
      <c r="E12" s="40">
        <v>12</v>
      </c>
      <c r="F12" s="13">
        <f t="shared" si="1"/>
        <v>66.736090909090919</v>
      </c>
      <c r="G12" s="3"/>
      <c r="H12" s="3"/>
      <c r="I12" s="3"/>
      <c r="K12" s="22">
        <v>9</v>
      </c>
      <c r="L12" s="5" t="s">
        <v>11</v>
      </c>
      <c r="M12" s="10">
        <v>0</v>
      </c>
      <c r="N12" s="11">
        <f t="shared" si="2"/>
        <v>0</v>
      </c>
      <c r="O12" s="40">
        <v>12</v>
      </c>
      <c r="P12" s="13">
        <f t="shared" si="3"/>
        <v>0</v>
      </c>
      <c r="Q12" s="3"/>
      <c r="R12" s="3"/>
      <c r="S12" s="3"/>
      <c r="U12" s="22">
        <v>9</v>
      </c>
      <c r="V12" s="5" t="s">
        <v>10</v>
      </c>
      <c r="W12" s="10">
        <v>0</v>
      </c>
      <c r="X12" s="11">
        <f t="shared" si="4"/>
        <v>0</v>
      </c>
      <c r="Y12" s="40">
        <v>12</v>
      </c>
      <c r="Z12" s="13">
        <f t="shared" si="5"/>
        <v>0</v>
      </c>
      <c r="AA12" s="3"/>
      <c r="AB12" s="3"/>
      <c r="AC12" s="3"/>
    </row>
    <row r="13" spans="1:29" s="2" customFormat="1" ht="14.35" customHeight="1" x14ac:dyDescent="0.45">
      <c r="A13" s="22">
        <v>10</v>
      </c>
      <c r="B13" s="5" t="s">
        <v>14</v>
      </c>
      <c r="C13" s="10">
        <v>1</v>
      </c>
      <c r="D13" s="11">
        <f t="shared" si="0"/>
        <v>7.575757575757576E-3</v>
      </c>
      <c r="E13" s="40">
        <v>12</v>
      </c>
      <c r="F13" s="13">
        <f t="shared" si="1"/>
        <v>66.736090909090919</v>
      </c>
      <c r="G13" s="3"/>
      <c r="H13" s="3"/>
      <c r="I13" s="3"/>
      <c r="K13" s="22">
        <v>10</v>
      </c>
      <c r="L13" s="5" t="s">
        <v>8</v>
      </c>
      <c r="M13" s="10">
        <v>0</v>
      </c>
      <c r="N13" s="11">
        <f t="shared" si="2"/>
        <v>0</v>
      </c>
      <c r="O13" s="40">
        <v>12</v>
      </c>
      <c r="P13" s="13">
        <f t="shared" si="3"/>
        <v>0</v>
      </c>
      <c r="Q13" s="3"/>
      <c r="R13" s="3"/>
      <c r="S13" s="3"/>
      <c r="U13" s="22">
        <v>10</v>
      </c>
      <c r="V13" s="5" t="s">
        <v>11</v>
      </c>
      <c r="W13" s="10">
        <v>0</v>
      </c>
      <c r="X13" s="11">
        <f t="shared" si="4"/>
        <v>0</v>
      </c>
      <c r="Y13" s="40">
        <v>12</v>
      </c>
      <c r="Z13" s="13">
        <f t="shared" si="5"/>
        <v>0</v>
      </c>
      <c r="AA13" s="3"/>
      <c r="AB13" s="3"/>
      <c r="AC13" s="3"/>
    </row>
    <row r="14" spans="1:29" s="2" customFormat="1" ht="14.35" customHeight="1" x14ac:dyDescent="0.45">
      <c r="A14" s="22">
        <v>11</v>
      </c>
      <c r="B14" s="5" t="s">
        <v>18</v>
      </c>
      <c r="C14" s="10">
        <v>0</v>
      </c>
      <c r="D14" s="11">
        <f t="shared" si="0"/>
        <v>0</v>
      </c>
      <c r="E14" s="40">
        <v>12</v>
      </c>
      <c r="F14" s="13">
        <f t="shared" si="1"/>
        <v>0</v>
      </c>
      <c r="G14" s="3"/>
      <c r="H14" s="3"/>
      <c r="I14" s="3"/>
      <c r="K14" s="22">
        <v>11</v>
      </c>
      <c r="L14" s="5"/>
      <c r="M14" s="10"/>
      <c r="N14" s="11">
        <f t="shared" si="2"/>
        <v>0</v>
      </c>
      <c r="O14" s="40">
        <v>12</v>
      </c>
      <c r="P14" s="13">
        <f t="shared" si="3"/>
        <v>0</v>
      </c>
      <c r="Q14" s="3"/>
      <c r="R14" s="3"/>
      <c r="S14" s="3"/>
      <c r="U14" s="22">
        <v>11</v>
      </c>
      <c r="V14" s="5" t="s">
        <v>8</v>
      </c>
      <c r="W14" s="10">
        <v>0</v>
      </c>
      <c r="X14" s="11">
        <f t="shared" si="4"/>
        <v>0</v>
      </c>
      <c r="Y14" s="40">
        <v>12</v>
      </c>
      <c r="Z14" s="13">
        <f t="shared" si="5"/>
        <v>0</v>
      </c>
      <c r="AA14" s="3"/>
      <c r="AB14" s="3"/>
      <c r="AC14" s="3"/>
    </row>
    <row r="15" spans="1:29" s="2" customFormat="1" ht="14.35" customHeight="1" x14ac:dyDescent="0.45">
      <c r="A15" s="22">
        <v>12</v>
      </c>
      <c r="B15" s="5" t="s">
        <v>38</v>
      </c>
      <c r="C15" s="10">
        <v>13</v>
      </c>
      <c r="D15" s="11">
        <f t="shared" si="0"/>
        <v>9.8484848484848481E-2</v>
      </c>
      <c r="E15" s="40">
        <v>12</v>
      </c>
      <c r="F15" s="13">
        <f t="shared" si="1"/>
        <v>867.56918181818185</v>
      </c>
      <c r="G15" s="3"/>
      <c r="H15" s="3"/>
      <c r="I15" s="3"/>
      <c r="K15" s="22">
        <v>12</v>
      </c>
      <c r="L15" s="5"/>
      <c r="M15" s="10"/>
      <c r="N15" s="11">
        <f t="shared" si="2"/>
        <v>0</v>
      </c>
      <c r="O15" s="40">
        <v>12</v>
      </c>
      <c r="P15" s="13">
        <f t="shared" si="3"/>
        <v>0</v>
      </c>
      <c r="Q15" s="3"/>
      <c r="R15" s="3"/>
      <c r="S15" s="3"/>
      <c r="U15" s="22">
        <v>12</v>
      </c>
      <c r="V15" s="5" t="s">
        <v>9</v>
      </c>
      <c r="W15" s="10">
        <v>0</v>
      </c>
      <c r="X15" s="11">
        <f t="shared" si="4"/>
        <v>0</v>
      </c>
      <c r="Y15" s="40">
        <v>12</v>
      </c>
      <c r="Z15" s="13">
        <f t="shared" si="5"/>
        <v>0</v>
      </c>
      <c r="AA15" s="3"/>
      <c r="AB15" s="3"/>
      <c r="AC15" s="3"/>
    </row>
    <row r="16" spans="1:29" s="2" customFormat="1" ht="14.35" customHeight="1" x14ac:dyDescent="0.45">
      <c r="A16" s="22">
        <v>13</v>
      </c>
      <c r="B16" s="5"/>
      <c r="C16" s="10"/>
      <c r="D16" s="11">
        <f t="shared" si="0"/>
        <v>0</v>
      </c>
      <c r="E16" s="40">
        <v>12</v>
      </c>
      <c r="F16" s="13">
        <f t="shared" si="1"/>
        <v>0</v>
      </c>
      <c r="G16" s="3"/>
      <c r="H16" s="3"/>
      <c r="I16" s="3"/>
      <c r="K16" s="22">
        <v>13</v>
      </c>
      <c r="L16" s="5"/>
      <c r="M16" s="10"/>
      <c r="N16" s="11">
        <f t="shared" si="2"/>
        <v>0</v>
      </c>
      <c r="O16" s="40">
        <v>12</v>
      </c>
      <c r="P16" s="13">
        <f t="shared" si="3"/>
        <v>0</v>
      </c>
      <c r="Q16" s="3"/>
      <c r="R16" s="3"/>
      <c r="S16" s="3"/>
      <c r="U16" s="22">
        <v>13</v>
      </c>
      <c r="V16" s="5"/>
      <c r="W16" s="10"/>
      <c r="X16" s="11">
        <f t="shared" si="4"/>
        <v>0</v>
      </c>
      <c r="Y16" s="40">
        <v>12</v>
      </c>
      <c r="Z16" s="13">
        <f t="shared" si="5"/>
        <v>0</v>
      </c>
      <c r="AA16" s="3"/>
      <c r="AB16" s="3"/>
      <c r="AC16" s="3"/>
    </row>
    <row r="17" spans="1:29" s="2" customFormat="1" ht="14.35" customHeight="1" x14ac:dyDescent="0.45">
      <c r="A17" s="22">
        <v>14</v>
      </c>
      <c r="B17" s="5"/>
      <c r="C17" s="10"/>
      <c r="D17" s="11">
        <f t="shared" si="0"/>
        <v>0</v>
      </c>
      <c r="E17" s="40">
        <v>12</v>
      </c>
      <c r="F17" s="13">
        <f t="shared" si="1"/>
        <v>0</v>
      </c>
      <c r="G17" s="3"/>
      <c r="H17" s="3"/>
      <c r="I17" s="3"/>
      <c r="K17" s="22">
        <v>14</v>
      </c>
      <c r="L17" s="5"/>
      <c r="M17" s="10"/>
      <c r="N17" s="11">
        <f t="shared" si="2"/>
        <v>0</v>
      </c>
      <c r="O17" s="40">
        <v>12</v>
      </c>
      <c r="P17" s="13">
        <f t="shared" si="3"/>
        <v>0</v>
      </c>
      <c r="Q17" s="3"/>
      <c r="R17" s="3"/>
      <c r="S17" s="3"/>
      <c r="U17" s="22">
        <v>14</v>
      </c>
      <c r="V17" s="5"/>
      <c r="W17" s="10"/>
      <c r="X17" s="11">
        <f t="shared" si="4"/>
        <v>0</v>
      </c>
      <c r="Y17" s="40">
        <v>12</v>
      </c>
      <c r="Z17" s="13">
        <f t="shared" si="5"/>
        <v>0</v>
      </c>
      <c r="AA17" s="3"/>
      <c r="AB17" s="3"/>
      <c r="AC17" s="3"/>
    </row>
    <row r="18" spans="1:29" s="2" customFormat="1" ht="14.35" customHeight="1" x14ac:dyDescent="0.45">
      <c r="A18" s="22">
        <v>15</v>
      </c>
      <c r="B18" s="5"/>
      <c r="C18" s="10"/>
      <c r="D18" s="11">
        <f t="shared" si="0"/>
        <v>0</v>
      </c>
      <c r="E18" s="40">
        <v>12</v>
      </c>
      <c r="F18" s="13">
        <f t="shared" si="1"/>
        <v>0</v>
      </c>
      <c r="G18" s="3"/>
      <c r="H18" s="3"/>
      <c r="I18" s="3"/>
      <c r="K18" s="22">
        <v>15</v>
      </c>
      <c r="L18" s="5"/>
      <c r="M18" s="10"/>
      <c r="N18" s="11">
        <f t="shared" si="2"/>
        <v>0</v>
      </c>
      <c r="O18" s="40">
        <v>12</v>
      </c>
      <c r="P18" s="13">
        <f t="shared" si="3"/>
        <v>0</v>
      </c>
      <c r="Q18" s="3"/>
      <c r="R18" s="3"/>
      <c r="S18" s="3"/>
      <c r="U18" s="22">
        <v>15</v>
      </c>
      <c r="V18" s="5"/>
      <c r="W18" s="10"/>
      <c r="X18" s="11">
        <f t="shared" si="4"/>
        <v>0</v>
      </c>
      <c r="Y18" s="40">
        <v>12</v>
      </c>
      <c r="Z18" s="13">
        <f t="shared" si="5"/>
        <v>0</v>
      </c>
      <c r="AA18" s="3"/>
      <c r="AB18" s="3"/>
      <c r="AC18" s="3"/>
    </row>
    <row r="19" spans="1:29" s="2" customFormat="1" ht="14.35" customHeight="1" x14ac:dyDescent="0.45">
      <c r="A19" s="22">
        <v>16</v>
      </c>
      <c r="B19" s="5"/>
      <c r="C19" s="10"/>
      <c r="D19" s="11">
        <f t="shared" si="0"/>
        <v>0</v>
      </c>
      <c r="E19" s="40">
        <v>12</v>
      </c>
      <c r="F19" s="13">
        <f t="shared" si="1"/>
        <v>0</v>
      </c>
      <c r="G19" s="3"/>
      <c r="H19" s="3"/>
      <c r="I19" s="3"/>
      <c r="K19" s="22">
        <v>16</v>
      </c>
      <c r="L19" s="5"/>
      <c r="M19" s="10"/>
      <c r="N19" s="11">
        <f t="shared" si="2"/>
        <v>0</v>
      </c>
      <c r="O19" s="40">
        <v>12</v>
      </c>
      <c r="P19" s="13">
        <f t="shared" si="3"/>
        <v>0</v>
      </c>
      <c r="Q19" s="3"/>
      <c r="R19" s="3"/>
      <c r="S19" s="3"/>
      <c r="U19" s="22">
        <v>16</v>
      </c>
      <c r="V19" s="5"/>
      <c r="W19" s="10"/>
      <c r="X19" s="11">
        <f t="shared" si="4"/>
        <v>0</v>
      </c>
      <c r="Y19" s="40">
        <v>12</v>
      </c>
      <c r="Z19" s="13">
        <f t="shared" si="5"/>
        <v>0</v>
      </c>
      <c r="AA19" s="3"/>
      <c r="AB19" s="3"/>
      <c r="AC19" s="3"/>
    </row>
    <row r="20" spans="1:29" s="2" customFormat="1" ht="14.35" customHeight="1" x14ac:dyDescent="0.45">
      <c r="A20" s="22">
        <v>17</v>
      </c>
      <c r="B20" s="5"/>
      <c r="C20" s="10"/>
      <c r="D20" s="11">
        <f t="shared" si="0"/>
        <v>0</v>
      </c>
      <c r="E20" s="40">
        <v>12</v>
      </c>
      <c r="F20" s="13">
        <f t="shared" si="1"/>
        <v>0</v>
      </c>
      <c r="G20" s="3"/>
      <c r="H20" s="3"/>
      <c r="I20" s="3"/>
      <c r="K20" s="22">
        <v>17</v>
      </c>
      <c r="L20" s="5"/>
      <c r="M20" s="10"/>
      <c r="N20" s="11">
        <f t="shared" si="2"/>
        <v>0</v>
      </c>
      <c r="O20" s="40">
        <v>12</v>
      </c>
      <c r="P20" s="13">
        <f t="shared" si="3"/>
        <v>0</v>
      </c>
      <c r="Q20" s="3"/>
      <c r="R20" s="3"/>
      <c r="S20" s="3"/>
      <c r="U20" s="22">
        <v>17</v>
      </c>
      <c r="V20" s="5"/>
      <c r="W20" s="10"/>
      <c r="X20" s="11">
        <f t="shared" si="4"/>
        <v>0</v>
      </c>
      <c r="Y20" s="40">
        <v>12</v>
      </c>
      <c r="Z20" s="13">
        <f t="shared" si="5"/>
        <v>0</v>
      </c>
      <c r="AA20" s="3"/>
      <c r="AB20" s="3"/>
      <c r="AC20" s="3"/>
    </row>
    <row r="21" spans="1:29" s="2" customFormat="1" ht="14.35" customHeight="1" x14ac:dyDescent="0.45">
      <c r="A21" s="22">
        <v>18</v>
      </c>
      <c r="B21" s="5"/>
      <c r="C21" s="10"/>
      <c r="D21" s="11">
        <f t="shared" si="0"/>
        <v>0</v>
      </c>
      <c r="E21" s="40">
        <v>12</v>
      </c>
      <c r="F21" s="13">
        <f t="shared" si="1"/>
        <v>0</v>
      </c>
      <c r="G21" s="3"/>
      <c r="H21" s="3"/>
      <c r="I21" s="3"/>
      <c r="K21" s="22">
        <v>18</v>
      </c>
      <c r="L21" s="5"/>
      <c r="M21" s="10"/>
      <c r="N21" s="11">
        <f t="shared" si="2"/>
        <v>0</v>
      </c>
      <c r="O21" s="40">
        <v>12</v>
      </c>
      <c r="P21" s="13">
        <f t="shared" si="3"/>
        <v>0</v>
      </c>
      <c r="Q21" s="3"/>
      <c r="R21" s="3"/>
      <c r="S21" s="3"/>
      <c r="U21" s="22">
        <v>18</v>
      </c>
      <c r="V21" s="5"/>
      <c r="W21" s="10"/>
      <c r="X21" s="11">
        <f t="shared" si="4"/>
        <v>0</v>
      </c>
      <c r="Y21" s="40">
        <v>12</v>
      </c>
      <c r="Z21" s="13">
        <f t="shared" si="5"/>
        <v>0</v>
      </c>
      <c r="AA21" s="3"/>
      <c r="AB21" s="3"/>
      <c r="AC21" s="3"/>
    </row>
    <row r="22" spans="1:29" s="2" customFormat="1" ht="14.35" customHeight="1" x14ac:dyDescent="0.45">
      <c r="A22" s="22">
        <v>19</v>
      </c>
      <c r="B22" s="5"/>
      <c r="C22" s="10"/>
      <c r="D22" s="11">
        <f t="shared" si="0"/>
        <v>0</v>
      </c>
      <c r="E22" s="40">
        <v>12</v>
      </c>
      <c r="F22" s="13">
        <f t="shared" si="1"/>
        <v>0</v>
      </c>
      <c r="G22" s="3"/>
      <c r="H22" s="3"/>
      <c r="I22" s="3"/>
      <c r="K22" s="22">
        <v>19</v>
      </c>
      <c r="L22" s="5"/>
      <c r="M22" s="10"/>
      <c r="N22" s="11">
        <f t="shared" si="2"/>
        <v>0</v>
      </c>
      <c r="O22" s="40">
        <v>12</v>
      </c>
      <c r="P22" s="13">
        <f t="shared" si="3"/>
        <v>0</v>
      </c>
      <c r="Q22" s="3"/>
      <c r="R22" s="3"/>
      <c r="S22" s="3"/>
      <c r="U22" s="22">
        <v>19</v>
      </c>
      <c r="V22" s="5"/>
      <c r="W22" s="10"/>
      <c r="X22" s="11">
        <f t="shared" si="4"/>
        <v>0</v>
      </c>
      <c r="Y22" s="40">
        <v>12</v>
      </c>
      <c r="Z22" s="13">
        <f t="shared" si="5"/>
        <v>0</v>
      </c>
      <c r="AA22" s="3"/>
      <c r="AB22" s="3"/>
      <c r="AC22" s="3"/>
    </row>
    <row r="23" spans="1:29" s="2" customFormat="1" ht="14.35" customHeight="1" thickBot="1" x14ac:dyDescent="0.5">
      <c r="A23" s="23">
        <v>20</v>
      </c>
      <c r="B23" s="18"/>
      <c r="C23" s="19"/>
      <c r="D23" s="20">
        <f t="shared" si="0"/>
        <v>0</v>
      </c>
      <c r="E23" s="41">
        <v>12</v>
      </c>
      <c r="F23" s="21">
        <f t="shared" si="1"/>
        <v>0</v>
      </c>
      <c r="G23" s="3"/>
      <c r="H23" s="3"/>
      <c r="I23" s="3"/>
      <c r="K23" s="23">
        <v>20</v>
      </c>
      <c r="L23" s="18"/>
      <c r="M23" s="19"/>
      <c r="N23" s="20">
        <f t="shared" si="2"/>
        <v>0</v>
      </c>
      <c r="O23" s="41">
        <v>12</v>
      </c>
      <c r="P23" s="21">
        <f t="shared" si="3"/>
        <v>0</v>
      </c>
      <c r="Q23" s="3"/>
      <c r="R23" s="3"/>
      <c r="S23" s="3"/>
      <c r="U23" s="23">
        <v>20</v>
      </c>
      <c r="V23" s="18"/>
      <c r="W23" s="19"/>
      <c r="X23" s="20">
        <f t="shared" si="4"/>
        <v>0</v>
      </c>
      <c r="Y23" s="41">
        <v>12</v>
      </c>
      <c r="Z23" s="21">
        <f t="shared" si="5"/>
        <v>0</v>
      </c>
      <c r="AA23" s="3"/>
      <c r="AB23" s="3"/>
      <c r="AC23" s="3"/>
    </row>
    <row r="24" spans="1:29" s="2" customFormat="1" ht="14.35" customHeight="1" thickTop="1" x14ac:dyDescent="0.45">
      <c r="A24" s="16"/>
      <c r="B24" s="17" t="s">
        <v>2</v>
      </c>
      <c r="C24" s="9">
        <f>SUM(C4:C23)</f>
        <v>132</v>
      </c>
      <c r="D24" s="12">
        <f>SUM(D4:D23)</f>
        <v>1</v>
      </c>
      <c r="E24" s="36" t="s">
        <v>44</v>
      </c>
      <c r="F24" s="14">
        <f>I4*D24</f>
        <v>8809.1640000000007</v>
      </c>
      <c r="G24" s="3"/>
      <c r="H24" s="3"/>
      <c r="I24" s="3"/>
      <c r="K24" s="16"/>
      <c r="L24" s="17" t="s">
        <v>2</v>
      </c>
      <c r="M24" s="9">
        <f>SUM(M4:M23)</f>
        <v>83</v>
      </c>
      <c r="N24" s="12">
        <f>SUM(N4:N23)</f>
        <v>1</v>
      </c>
      <c r="O24" s="36" t="s">
        <v>44</v>
      </c>
      <c r="P24" s="14">
        <f>S4*N24</f>
        <v>2748.212</v>
      </c>
      <c r="Q24" s="3"/>
      <c r="R24" s="3"/>
      <c r="S24" s="3"/>
      <c r="U24" s="16"/>
      <c r="V24" s="17" t="s">
        <v>2</v>
      </c>
      <c r="W24" s="9">
        <f>SUM(W4:W23)</f>
        <v>72</v>
      </c>
      <c r="X24" s="12">
        <f>SUM(X4:X23)</f>
        <v>1</v>
      </c>
      <c r="Y24" s="36" t="s">
        <v>44</v>
      </c>
      <c r="Z24" s="14">
        <f>AC4*X24</f>
        <v>2776.5010000000002</v>
      </c>
      <c r="AA24" s="3"/>
      <c r="AB24" s="3"/>
      <c r="AC24" s="3"/>
    </row>
    <row r="25" spans="1:29" s="2" customFormat="1" ht="14.35" customHeight="1" x14ac:dyDescent="0.45">
      <c r="A25" s="3"/>
      <c r="B25" s="6"/>
      <c r="C25" s="6"/>
      <c r="D25" s="7"/>
      <c r="E25" s="37"/>
      <c r="F25" s="8"/>
      <c r="G25" s="3"/>
      <c r="H25" s="3"/>
      <c r="I25" s="3"/>
      <c r="K25" s="3"/>
      <c r="L25" s="6"/>
      <c r="M25" s="6"/>
      <c r="N25" s="7"/>
      <c r="O25" s="7"/>
      <c r="P25" s="8"/>
      <c r="Q25" s="3"/>
      <c r="R25" s="3"/>
      <c r="S25" s="3"/>
      <c r="U25" s="3"/>
      <c r="V25" s="6"/>
      <c r="W25" s="6"/>
      <c r="X25" s="7"/>
      <c r="Y25" s="7"/>
      <c r="Z25" s="8"/>
      <c r="AA25" s="3"/>
      <c r="AB25" s="3"/>
      <c r="AC25" s="3"/>
    </row>
    <row r="26" spans="1:29" s="2" customFormat="1" ht="14.35" customHeight="1" x14ac:dyDescent="0.45">
      <c r="B26" s="3"/>
      <c r="C26" s="3"/>
      <c r="D26" s="3"/>
      <c r="E26" s="34"/>
      <c r="F26" s="3"/>
      <c r="G26" s="3"/>
      <c r="H26" s="3"/>
      <c r="I26" s="3"/>
    </row>
    <row r="27" spans="1:29" s="29" customFormat="1" ht="28.6" customHeight="1" x14ac:dyDescent="0.45">
      <c r="A27" s="27"/>
      <c r="B27" s="30" t="s">
        <v>6</v>
      </c>
      <c r="C27" s="28" t="s">
        <v>20</v>
      </c>
      <c r="D27" s="27"/>
      <c r="E27" s="33"/>
      <c r="F27" s="30" t="s">
        <v>42</v>
      </c>
      <c r="G27" s="32">
        <v>0.39300000000000002</v>
      </c>
      <c r="H27" s="27"/>
      <c r="I27" s="27"/>
      <c r="K27" s="27"/>
      <c r="L27" s="30" t="s">
        <v>6</v>
      </c>
      <c r="M27" s="28" t="s">
        <v>21</v>
      </c>
      <c r="N27" s="27"/>
      <c r="O27" s="27"/>
      <c r="P27" s="30" t="s">
        <v>42</v>
      </c>
      <c r="Q27" s="32">
        <v>0.112</v>
      </c>
      <c r="R27" s="27"/>
      <c r="S27" s="27"/>
      <c r="T27" s="27"/>
      <c r="U27" s="42"/>
      <c r="V27" s="44" t="s">
        <v>51</v>
      </c>
      <c r="W27" s="45"/>
      <c r="X27" s="45"/>
      <c r="Y27" s="45"/>
      <c r="Z27" s="45"/>
      <c r="AA27" s="45"/>
      <c r="AB27" s="42"/>
    </row>
    <row r="28" spans="1:29" s="2" customFormat="1" ht="14.35" customHeight="1" x14ac:dyDescent="0.7">
      <c r="A28" s="1"/>
      <c r="C28" s="3"/>
      <c r="D28" s="3"/>
      <c r="E28" s="34"/>
      <c r="F28" s="3"/>
      <c r="G28" s="3"/>
      <c r="H28" s="3"/>
      <c r="I28" s="3"/>
      <c r="K28" s="1"/>
      <c r="M28" s="3"/>
      <c r="N28" s="3"/>
      <c r="O28" s="3"/>
      <c r="P28" s="3"/>
      <c r="Q28" s="3"/>
      <c r="R28" s="3"/>
      <c r="S28" s="3"/>
      <c r="T28" s="4"/>
      <c r="U28" s="43"/>
      <c r="V28" s="46"/>
      <c r="W28" s="46"/>
      <c r="X28" s="46"/>
      <c r="Y28" s="46"/>
      <c r="Z28" s="46"/>
      <c r="AA28" s="46"/>
      <c r="AB28" s="43"/>
    </row>
    <row r="29" spans="1:29" s="2" customFormat="1" ht="14.35" customHeight="1" x14ac:dyDescent="0.45">
      <c r="A29" s="24"/>
      <c r="B29" s="25" t="s">
        <v>0</v>
      </c>
      <c r="C29" s="26" t="s">
        <v>1</v>
      </c>
      <c r="D29" s="26" t="s">
        <v>49</v>
      </c>
      <c r="E29" s="35" t="s">
        <v>43</v>
      </c>
      <c r="F29" s="26" t="s">
        <v>50</v>
      </c>
      <c r="G29" s="26" t="s">
        <v>3</v>
      </c>
      <c r="H29" s="26" t="s">
        <v>4</v>
      </c>
      <c r="I29" s="26" t="s">
        <v>5</v>
      </c>
      <c r="K29" s="24"/>
      <c r="L29" s="25" t="s">
        <v>0</v>
      </c>
      <c r="M29" s="26" t="s">
        <v>1</v>
      </c>
      <c r="N29" s="26" t="s">
        <v>49</v>
      </c>
      <c r="O29" s="35" t="s">
        <v>43</v>
      </c>
      <c r="P29" s="26" t="s">
        <v>50</v>
      </c>
      <c r="Q29" s="26" t="s">
        <v>3</v>
      </c>
      <c r="R29" s="26" t="s">
        <v>4</v>
      </c>
      <c r="S29" s="26" t="s">
        <v>5</v>
      </c>
      <c r="T29" s="4"/>
      <c r="U29" s="43"/>
      <c r="V29" s="47" t="s">
        <v>47</v>
      </c>
      <c r="W29" s="59">
        <v>0.1</v>
      </c>
      <c r="X29" s="46"/>
      <c r="Y29" s="46"/>
      <c r="Z29" s="46"/>
      <c r="AA29" s="46"/>
      <c r="AB29" s="43"/>
    </row>
    <row r="30" spans="1:29" s="2" customFormat="1" ht="14.35" customHeight="1" x14ac:dyDescent="0.45">
      <c r="A30" s="22">
        <v>1</v>
      </c>
      <c r="B30" s="5" t="s">
        <v>15</v>
      </c>
      <c r="C30" s="10">
        <v>47</v>
      </c>
      <c r="D30" s="11">
        <f>C30/C$50</f>
        <v>0.3671875</v>
      </c>
      <c r="E30" s="40">
        <v>12</v>
      </c>
      <c r="F30" s="13">
        <f>$I$4*D30*(E30/12)</f>
        <v>3234.6149062500003</v>
      </c>
      <c r="G30" s="15">
        <v>10009</v>
      </c>
      <c r="H30" s="31">
        <v>0.11700000000000001</v>
      </c>
      <c r="I30" s="16">
        <f>G30*(1+H30)</f>
        <v>11180.053</v>
      </c>
      <c r="K30" s="22">
        <v>1</v>
      </c>
      <c r="L30" s="5" t="s">
        <v>29</v>
      </c>
      <c r="M30" s="10">
        <v>29</v>
      </c>
      <c r="N30" s="11">
        <f>M30/M$50</f>
        <v>0.5</v>
      </c>
      <c r="O30" s="40">
        <v>12</v>
      </c>
      <c r="P30" s="13">
        <f>$I$4*N30*(O30/12)</f>
        <v>4404.5820000000003</v>
      </c>
      <c r="Q30" s="15">
        <v>2967</v>
      </c>
      <c r="R30" s="31">
        <v>0.16200000000000001</v>
      </c>
      <c r="S30" s="16">
        <f>Q30*(1+R30)</f>
        <v>3447.6539999999995</v>
      </c>
      <c r="T30" s="4"/>
      <c r="U30" s="43"/>
      <c r="V30" s="46"/>
      <c r="W30" s="46"/>
      <c r="X30" s="46"/>
      <c r="Y30" s="46"/>
      <c r="Z30" s="46"/>
      <c r="AA30" s="46"/>
      <c r="AB30" s="43"/>
    </row>
    <row r="31" spans="1:29" s="2" customFormat="1" ht="14.35" customHeight="1" x14ac:dyDescent="0.45">
      <c r="A31" s="22">
        <v>2</v>
      </c>
      <c r="B31" s="5" t="s">
        <v>16</v>
      </c>
      <c r="C31" s="10">
        <v>15</v>
      </c>
      <c r="D31" s="11">
        <f t="shared" ref="D31:D49" si="6">C31/C$50</f>
        <v>0.1171875</v>
      </c>
      <c r="E31" s="40">
        <v>12</v>
      </c>
      <c r="F31" s="13">
        <f t="shared" ref="F31:F49" si="7">$I$4*D31*(E31/12)</f>
        <v>1032.3239062500002</v>
      </c>
      <c r="G31" s="3"/>
      <c r="H31" s="3"/>
      <c r="I31" s="3"/>
      <c r="K31" s="22">
        <v>2</v>
      </c>
      <c r="L31" s="5" t="s">
        <v>26</v>
      </c>
      <c r="M31" s="10">
        <v>7</v>
      </c>
      <c r="N31" s="11">
        <f t="shared" ref="N31:N49" si="8">M31/M$50</f>
        <v>0.1206896551724138</v>
      </c>
      <c r="O31" s="40">
        <v>12</v>
      </c>
      <c r="P31" s="13">
        <f t="shared" ref="P31:P49" si="9">$I$4*N31*(O31/12)</f>
        <v>1063.1749655172416</v>
      </c>
      <c r="Q31" s="3"/>
      <c r="R31" s="3"/>
      <c r="S31" s="3"/>
      <c r="T31" s="4"/>
      <c r="U31" s="43"/>
      <c r="V31" s="48"/>
      <c r="W31" s="53" t="s">
        <v>2</v>
      </c>
      <c r="X31" s="54" t="s">
        <v>48</v>
      </c>
      <c r="Y31" s="53" t="s">
        <v>52</v>
      </c>
      <c r="Z31" s="53" t="s">
        <v>45</v>
      </c>
      <c r="AA31" s="53" t="s">
        <v>46</v>
      </c>
      <c r="AB31" s="43"/>
    </row>
    <row r="32" spans="1:29" s="2" customFormat="1" ht="14.35" customHeight="1" x14ac:dyDescent="0.45">
      <c r="A32" s="22">
        <v>3</v>
      </c>
      <c r="B32" s="5" t="s">
        <v>53</v>
      </c>
      <c r="C32" s="10">
        <v>18</v>
      </c>
      <c r="D32" s="11">
        <f t="shared" si="6"/>
        <v>0.140625</v>
      </c>
      <c r="E32" s="40">
        <v>12</v>
      </c>
      <c r="F32" s="13">
        <f t="shared" si="7"/>
        <v>1238.7886875000002</v>
      </c>
      <c r="G32" s="3"/>
      <c r="H32" s="3"/>
      <c r="I32" s="3"/>
      <c r="K32" s="22">
        <v>3</v>
      </c>
      <c r="L32" s="5" t="s">
        <v>28</v>
      </c>
      <c r="M32" s="10">
        <v>2</v>
      </c>
      <c r="N32" s="11">
        <f t="shared" si="8"/>
        <v>3.4482758620689655E-2</v>
      </c>
      <c r="O32" s="40">
        <v>12</v>
      </c>
      <c r="P32" s="13">
        <f t="shared" si="9"/>
        <v>303.76427586206898</v>
      </c>
      <c r="Q32" s="3"/>
      <c r="R32" s="3"/>
      <c r="S32" s="3"/>
      <c r="T32" s="4"/>
      <c r="U32" s="43"/>
      <c r="V32" s="55" t="s">
        <v>9</v>
      </c>
      <c r="W32" s="49">
        <f>SUMIF($B$4:$B$23,V32,$F$4:$F$23)+SUMIF($L$4:$L$23,V32,$P$4:$P$23)+SUMIF($V$4:$V$23,V32,$Z$4:$Z$23)+SUMIF($B$30:$B$49,V32,$F$30:$F$49)+SUMIF($L$30:$L$49,V32,$P$30:$P$49)</f>
        <v>1945.774150568182</v>
      </c>
      <c r="X32" s="57">
        <v>1</v>
      </c>
      <c r="Y32" s="50">
        <f t="shared" ref="Y32:Y40" si="10">W32*X32</f>
        <v>1945.774150568182</v>
      </c>
      <c r="Z32" s="49">
        <f>Y32*(1-$W$29)</f>
        <v>1751.1967355113638</v>
      </c>
      <c r="AA32" s="49">
        <f>Y32*(1+$W$29)</f>
        <v>2140.3515656250001</v>
      </c>
      <c r="AB32" s="43"/>
    </row>
    <row r="33" spans="1:28" s="2" customFormat="1" ht="14.35" customHeight="1" x14ac:dyDescent="0.45">
      <c r="A33" s="22">
        <v>4</v>
      </c>
      <c r="B33" s="5" t="s">
        <v>17</v>
      </c>
      <c r="C33" s="10">
        <v>15</v>
      </c>
      <c r="D33" s="11">
        <f t="shared" si="6"/>
        <v>0.1171875</v>
      </c>
      <c r="E33" s="40">
        <v>12</v>
      </c>
      <c r="F33" s="13">
        <f t="shared" si="7"/>
        <v>1032.3239062500002</v>
      </c>
      <c r="G33" s="3"/>
      <c r="H33" s="3"/>
      <c r="I33" s="3"/>
      <c r="K33" s="22">
        <v>4</v>
      </c>
      <c r="L33" s="5" t="s">
        <v>27</v>
      </c>
      <c r="M33" s="10">
        <v>7</v>
      </c>
      <c r="N33" s="11">
        <f t="shared" si="8"/>
        <v>0.1206896551724138</v>
      </c>
      <c r="O33" s="40">
        <v>12</v>
      </c>
      <c r="P33" s="13">
        <f t="shared" si="9"/>
        <v>1063.1749655172416</v>
      </c>
      <c r="Q33" s="3"/>
      <c r="R33" s="3"/>
      <c r="S33" s="3"/>
      <c r="T33" s="4"/>
      <c r="U33" s="43"/>
      <c r="V33" s="55" t="s">
        <v>15</v>
      </c>
      <c r="W33" s="49">
        <f t="shared" ref="W33:W40" si="11">SUMIF($B$4:$B$23,V33,$F$4:$F$23)+SUMIF($L$4:$L$23,V33,$P$4:$P$23)+SUMIF($V$4:$V$23,V33,$Z$4:$Z$23)+SUMIF($B$30:$B$49,V33,$F$30:$F$49)+SUMIF($L$30:$L$49,V33,$P$30:$P$49)</f>
        <v>3234.6149062500003</v>
      </c>
      <c r="X33" s="57">
        <v>1</v>
      </c>
      <c r="Y33" s="50">
        <f t="shared" si="10"/>
        <v>3234.6149062500003</v>
      </c>
      <c r="Z33" s="49">
        <f t="shared" ref="Z33:Z40" si="12">Y33*(1-$W$29)</f>
        <v>2911.1534156250004</v>
      </c>
      <c r="AA33" s="49">
        <f t="shared" ref="AA33:AA40" si="13">Y33*(1+$W$29)</f>
        <v>3558.0763968750007</v>
      </c>
      <c r="AB33" s="43"/>
    </row>
    <row r="34" spans="1:28" s="2" customFormat="1" ht="14.35" customHeight="1" x14ac:dyDescent="0.45">
      <c r="A34" s="22">
        <v>5</v>
      </c>
      <c r="B34" s="5" t="s">
        <v>54</v>
      </c>
      <c r="C34" s="10">
        <v>14</v>
      </c>
      <c r="D34" s="11">
        <f t="shared" si="6"/>
        <v>0.109375</v>
      </c>
      <c r="E34" s="40">
        <v>12</v>
      </c>
      <c r="F34" s="13">
        <f t="shared" si="7"/>
        <v>963.50231250000002</v>
      </c>
      <c r="G34" s="3"/>
      <c r="H34" s="3"/>
      <c r="I34" s="3"/>
      <c r="K34" s="22">
        <v>5</v>
      </c>
      <c r="L34" s="5" t="s">
        <v>24</v>
      </c>
      <c r="M34" s="10">
        <v>7</v>
      </c>
      <c r="N34" s="11">
        <f t="shared" si="8"/>
        <v>0.1206896551724138</v>
      </c>
      <c r="O34" s="40">
        <v>12</v>
      </c>
      <c r="P34" s="13">
        <f t="shared" si="9"/>
        <v>1063.1749655172416</v>
      </c>
      <c r="Q34" s="3"/>
      <c r="R34" s="3"/>
      <c r="S34" s="3"/>
      <c r="T34" s="4"/>
      <c r="U34" s="43"/>
      <c r="V34" s="55" t="s">
        <v>37</v>
      </c>
      <c r="W34" s="49">
        <f t="shared" si="11"/>
        <v>734.09699999999998</v>
      </c>
      <c r="X34" s="57">
        <v>1</v>
      </c>
      <c r="Y34" s="50">
        <f t="shared" si="10"/>
        <v>734.09699999999998</v>
      </c>
      <c r="Z34" s="49">
        <f t="shared" si="12"/>
        <v>660.68730000000005</v>
      </c>
      <c r="AA34" s="49">
        <f t="shared" si="13"/>
        <v>807.50670000000002</v>
      </c>
      <c r="AB34" s="43"/>
    </row>
    <row r="35" spans="1:28" s="2" customFormat="1" ht="14.35" customHeight="1" x14ac:dyDescent="0.45">
      <c r="A35" s="22">
        <v>6</v>
      </c>
      <c r="B35" s="5" t="s">
        <v>18</v>
      </c>
      <c r="C35" s="10">
        <v>13</v>
      </c>
      <c r="D35" s="11">
        <f t="shared" si="6"/>
        <v>0.1015625</v>
      </c>
      <c r="E35" s="40">
        <v>12</v>
      </c>
      <c r="F35" s="13">
        <f t="shared" si="7"/>
        <v>894.6807187500001</v>
      </c>
      <c r="G35" s="3"/>
      <c r="H35" s="3"/>
      <c r="I35" s="3"/>
      <c r="K35" s="22">
        <v>6</v>
      </c>
      <c r="L35" s="5" t="s">
        <v>25</v>
      </c>
      <c r="M35" s="10">
        <v>5</v>
      </c>
      <c r="N35" s="11">
        <f t="shared" si="8"/>
        <v>8.6206896551724144E-2</v>
      </c>
      <c r="O35" s="40">
        <v>12</v>
      </c>
      <c r="P35" s="13">
        <f t="shared" si="9"/>
        <v>759.41068965517252</v>
      </c>
      <c r="Q35" s="3"/>
      <c r="R35" s="3"/>
      <c r="S35" s="3"/>
      <c r="T35" s="4"/>
      <c r="U35" s="43"/>
      <c r="V35" s="55" t="s">
        <v>31</v>
      </c>
      <c r="W35" s="49">
        <f t="shared" si="11"/>
        <v>1592.0175903614459</v>
      </c>
      <c r="X35" s="57">
        <v>1</v>
      </c>
      <c r="Y35" s="50">
        <f t="shared" si="10"/>
        <v>1592.0175903614459</v>
      </c>
      <c r="Z35" s="49">
        <f t="shared" si="12"/>
        <v>1432.8158313253014</v>
      </c>
      <c r="AA35" s="49">
        <f t="shared" si="13"/>
        <v>1751.2193493975906</v>
      </c>
      <c r="AB35" s="43"/>
    </row>
    <row r="36" spans="1:28" s="2" customFormat="1" ht="14.35" customHeight="1" x14ac:dyDescent="0.45">
      <c r="A36" s="22">
        <v>7</v>
      </c>
      <c r="B36" s="5" t="s">
        <v>9</v>
      </c>
      <c r="C36" s="10">
        <v>5</v>
      </c>
      <c r="D36" s="11">
        <f t="shared" si="6"/>
        <v>3.90625E-2</v>
      </c>
      <c r="E36" s="40">
        <v>12</v>
      </c>
      <c r="F36" s="13">
        <f t="shared" si="7"/>
        <v>344.10796875000005</v>
      </c>
      <c r="G36" s="3"/>
      <c r="H36" s="3"/>
      <c r="I36" s="3"/>
      <c r="K36" s="22">
        <v>7</v>
      </c>
      <c r="L36" s="5" t="s">
        <v>35</v>
      </c>
      <c r="M36" s="10">
        <v>1</v>
      </c>
      <c r="N36" s="11">
        <f t="shared" si="8"/>
        <v>1.7241379310344827E-2</v>
      </c>
      <c r="O36" s="40">
        <v>12</v>
      </c>
      <c r="P36" s="13">
        <f t="shared" si="9"/>
        <v>151.88213793103449</v>
      </c>
      <c r="Q36" s="3"/>
      <c r="R36" s="3"/>
      <c r="S36" s="3"/>
      <c r="T36" s="4"/>
      <c r="U36" s="43"/>
      <c r="V36" s="55" t="s">
        <v>25</v>
      </c>
      <c r="W36" s="49">
        <f t="shared" si="11"/>
        <v>759.41068965517252</v>
      </c>
      <c r="X36" s="57">
        <v>1</v>
      </c>
      <c r="Y36" s="50">
        <f t="shared" si="10"/>
        <v>759.41068965517252</v>
      </c>
      <c r="Z36" s="49">
        <f t="shared" si="12"/>
        <v>683.46962068965524</v>
      </c>
      <c r="AA36" s="49">
        <f t="shared" si="13"/>
        <v>835.35175862068979</v>
      </c>
      <c r="AB36" s="43"/>
    </row>
    <row r="37" spans="1:28" s="2" customFormat="1" ht="14.35" customHeight="1" x14ac:dyDescent="0.45">
      <c r="A37" s="22">
        <v>8</v>
      </c>
      <c r="B37" s="5" t="s">
        <v>10</v>
      </c>
      <c r="C37" s="10">
        <v>1</v>
      </c>
      <c r="D37" s="11">
        <f t="shared" si="6"/>
        <v>7.8125E-3</v>
      </c>
      <c r="E37" s="40">
        <v>12</v>
      </c>
      <c r="F37" s="13">
        <f t="shared" si="7"/>
        <v>68.821593750000005</v>
      </c>
      <c r="G37" s="3"/>
      <c r="H37" s="3"/>
      <c r="I37" s="3"/>
      <c r="K37" s="22">
        <v>8</v>
      </c>
      <c r="L37" s="5" t="s">
        <v>32</v>
      </c>
      <c r="M37" s="10">
        <v>0</v>
      </c>
      <c r="N37" s="11">
        <f t="shared" si="8"/>
        <v>0</v>
      </c>
      <c r="O37" s="40">
        <v>12</v>
      </c>
      <c r="P37" s="13">
        <f t="shared" si="9"/>
        <v>0</v>
      </c>
      <c r="Q37" s="3"/>
      <c r="R37" s="3"/>
      <c r="S37" s="3"/>
      <c r="T37" s="4"/>
      <c r="U37" s="43"/>
      <c r="V37" s="55"/>
      <c r="W37" s="49">
        <f t="shared" si="11"/>
        <v>0</v>
      </c>
      <c r="X37" s="57">
        <v>1</v>
      </c>
      <c r="Y37" s="50">
        <f t="shared" si="10"/>
        <v>0</v>
      </c>
      <c r="Z37" s="49">
        <f t="shared" si="12"/>
        <v>0</v>
      </c>
      <c r="AA37" s="49">
        <f t="shared" si="13"/>
        <v>0</v>
      </c>
      <c r="AB37" s="43"/>
    </row>
    <row r="38" spans="1:28" s="2" customFormat="1" ht="14.35" customHeight="1" x14ac:dyDescent="0.45">
      <c r="A38" s="22">
        <v>9</v>
      </c>
      <c r="B38" s="5" t="s">
        <v>11</v>
      </c>
      <c r="C38" s="10">
        <v>0</v>
      </c>
      <c r="D38" s="11">
        <f t="shared" si="6"/>
        <v>0</v>
      </c>
      <c r="E38" s="40">
        <v>12</v>
      </c>
      <c r="F38" s="13">
        <f t="shared" si="7"/>
        <v>0</v>
      </c>
      <c r="G38" s="3"/>
      <c r="H38" s="3"/>
      <c r="I38" s="3"/>
      <c r="K38" s="22">
        <v>9</v>
      </c>
      <c r="L38" s="5" t="s">
        <v>30</v>
      </c>
      <c r="M38" s="10">
        <v>0</v>
      </c>
      <c r="N38" s="11">
        <f t="shared" si="8"/>
        <v>0</v>
      </c>
      <c r="O38" s="40">
        <v>12</v>
      </c>
      <c r="P38" s="13">
        <f t="shared" si="9"/>
        <v>0</v>
      </c>
      <c r="Q38" s="3"/>
      <c r="R38" s="3"/>
      <c r="S38" s="3"/>
      <c r="T38" s="4"/>
      <c r="U38" s="43"/>
      <c r="V38" s="55"/>
      <c r="W38" s="49">
        <f t="shared" si="11"/>
        <v>0</v>
      </c>
      <c r="X38" s="57">
        <v>1</v>
      </c>
      <c r="Y38" s="50">
        <f t="shared" si="10"/>
        <v>0</v>
      </c>
      <c r="Z38" s="49">
        <f t="shared" si="12"/>
        <v>0</v>
      </c>
      <c r="AA38" s="49">
        <f t="shared" si="13"/>
        <v>0</v>
      </c>
      <c r="AB38" s="43"/>
    </row>
    <row r="39" spans="1:28" s="2" customFormat="1" ht="14.35" customHeight="1" x14ac:dyDescent="0.45">
      <c r="A39" s="22">
        <v>10</v>
      </c>
      <c r="B39" s="5" t="s">
        <v>8</v>
      </c>
      <c r="C39" s="10">
        <v>0</v>
      </c>
      <c r="D39" s="11">
        <f t="shared" si="6"/>
        <v>0</v>
      </c>
      <c r="E39" s="40">
        <v>12</v>
      </c>
      <c r="F39" s="13">
        <f t="shared" si="7"/>
        <v>0</v>
      </c>
      <c r="G39" s="3"/>
      <c r="H39" s="3"/>
      <c r="I39" s="3"/>
      <c r="K39" s="22">
        <v>10</v>
      </c>
      <c r="L39" s="5" t="s">
        <v>33</v>
      </c>
      <c r="M39" s="10">
        <v>0</v>
      </c>
      <c r="N39" s="11">
        <f t="shared" si="8"/>
        <v>0</v>
      </c>
      <c r="O39" s="40">
        <v>12</v>
      </c>
      <c r="P39" s="13">
        <f t="shared" si="9"/>
        <v>0</v>
      </c>
      <c r="Q39" s="3"/>
      <c r="R39" s="3"/>
      <c r="S39" s="3"/>
      <c r="T39" s="4"/>
      <c r="U39" s="43"/>
      <c r="V39" s="55"/>
      <c r="W39" s="49">
        <f t="shared" si="11"/>
        <v>0</v>
      </c>
      <c r="X39" s="57">
        <v>1</v>
      </c>
      <c r="Y39" s="50">
        <f t="shared" si="10"/>
        <v>0</v>
      </c>
      <c r="Z39" s="49">
        <f t="shared" si="12"/>
        <v>0</v>
      </c>
      <c r="AA39" s="49">
        <f t="shared" si="13"/>
        <v>0</v>
      </c>
      <c r="AB39" s="43"/>
    </row>
    <row r="40" spans="1:28" s="2" customFormat="1" ht="14.35" customHeight="1" x14ac:dyDescent="0.45">
      <c r="A40" s="22">
        <v>11</v>
      </c>
      <c r="B40" s="5" t="s">
        <v>12</v>
      </c>
      <c r="C40" s="10">
        <v>0</v>
      </c>
      <c r="D40" s="11">
        <f t="shared" si="6"/>
        <v>0</v>
      </c>
      <c r="E40" s="40">
        <v>12</v>
      </c>
      <c r="F40" s="13">
        <f t="shared" si="7"/>
        <v>0</v>
      </c>
      <c r="G40" s="3"/>
      <c r="H40" s="3"/>
      <c r="I40" s="3"/>
      <c r="K40" s="22">
        <v>11</v>
      </c>
      <c r="L40" s="5" t="s">
        <v>34</v>
      </c>
      <c r="M40" s="10">
        <v>0</v>
      </c>
      <c r="N40" s="11">
        <f t="shared" si="8"/>
        <v>0</v>
      </c>
      <c r="O40" s="40">
        <v>12</v>
      </c>
      <c r="P40" s="13">
        <f t="shared" si="9"/>
        <v>0</v>
      </c>
      <c r="Q40" s="3"/>
      <c r="R40" s="3"/>
      <c r="S40" s="3"/>
      <c r="T40" s="4"/>
      <c r="U40" s="43"/>
      <c r="V40" s="56"/>
      <c r="W40" s="51">
        <f t="shared" si="11"/>
        <v>0</v>
      </c>
      <c r="X40" s="58">
        <v>1</v>
      </c>
      <c r="Y40" s="52">
        <f t="shared" si="10"/>
        <v>0</v>
      </c>
      <c r="Z40" s="49">
        <f t="shared" si="12"/>
        <v>0</v>
      </c>
      <c r="AA40" s="49">
        <f t="shared" si="13"/>
        <v>0</v>
      </c>
      <c r="AB40" s="43"/>
    </row>
    <row r="41" spans="1:28" s="2" customFormat="1" ht="14.35" customHeight="1" x14ac:dyDescent="0.45">
      <c r="A41" s="22">
        <v>12</v>
      </c>
      <c r="B41" s="5"/>
      <c r="C41" s="10"/>
      <c r="D41" s="11">
        <f t="shared" si="6"/>
        <v>0</v>
      </c>
      <c r="E41" s="40">
        <v>12</v>
      </c>
      <c r="F41" s="13">
        <f t="shared" si="7"/>
        <v>0</v>
      </c>
      <c r="G41" s="3"/>
      <c r="H41" s="3"/>
      <c r="I41" s="3"/>
      <c r="K41" s="22">
        <v>12</v>
      </c>
      <c r="L41" s="5" t="s">
        <v>31</v>
      </c>
      <c r="M41" s="10">
        <v>0</v>
      </c>
      <c r="N41" s="11">
        <f t="shared" si="8"/>
        <v>0</v>
      </c>
      <c r="O41" s="40">
        <v>12</v>
      </c>
      <c r="P41" s="13">
        <f t="shared" si="9"/>
        <v>0</v>
      </c>
      <c r="Q41" s="3"/>
      <c r="R41" s="3"/>
      <c r="S41" s="3"/>
      <c r="T41" s="4"/>
      <c r="U41" s="43"/>
      <c r="V41" s="43"/>
      <c r="W41" s="43"/>
      <c r="X41" s="43"/>
      <c r="Y41" s="43"/>
      <c r="Z41" s="43"/>
      <c r="AA41" s="43"/>
      <c r="AB41" s="43"/>
    </row>
    <row r="42" spans="1:28" s="2" customFormat="1" ht="14.35" customHeight="1" x14ac:dyDescent="0.45">
      <c r="A42" s="22">
        <v>13</v>
      </c>
      <c r="B42" s="5"/>
      <c r="C42" s="10"/>
      <c r="D42" s="11">
        <f t="shared" si="6"/>
        <v>0</v>
      </c>
      <c r="E42" s="40">
        <v>12</v>
      </c>
      <c r="F42" s="13">
        <f t="shared" si="7"/>
        <v>0</v>
      </c>
      <c r="G42" s="3"/>
      <c r="H42" s="3"/>
      <c r="I42" s="3"/>
      <c r="K42" s="22">
        <v>13</v>
      </c>
      <c r="L42" s="5"/>
      <c r="M42" s="10"/>
      <c r="N42" s="11">
        <f t="shared" si="8"/>
        <v>0</v>
      </c>
      <c r="O42" s="40">
        <v>12</v>
      </c>
      <c r="P42" s="13">
        <f t="shared" si="9"/>
        <v>0</v>
      </c>
      <c r="Q42" s="3"/>
      <c r="R42" s="3"/>
      <c r="S42" s="3"/>
      <c r="T42" s="4"/>
      <c r="U42" s="43"/>
      <c r="V42" s="43"/>
      <c r="W42" s="43"/>
      <c r="X42" s="43"/>
      <c r="Y42" s="43"/>
      <c r="Z42" s="43"/>
      <c r="AA42" s="43"/>
      <c r="AB42" s="43"/>
    </row>
    <row r="43" spans="1:28" s="2" customFormat="1" ht="14.35" customHeight="1" x14ac:dyDescent="0.45">
      <c r="A43" s="22">
        <v>14</v>
      </c>
      <c r="B43" s="5"/>
      <c r="C43" s="10"/>
      <c r="D43" s="11">
        <f t="shared" si="6"/>
        <v>0</v>
      </c>
      <c r="E43" s="40">
        <v>12</v>
      </c>
      <c r="F43" s="13">
        <f t="shared" si="7"/>
        <v>0</v>
      </c>
      <c r="G43" s="3"/>
      <c r="H43" s="3"/>
      <c r="I43" s="3"/>
      <c r="K43" s="22">
        <v>14</v>
      </c>
      <c r="L43" s="5"/>
      <c r="M43" s="10"/>
      <c r="N43" s="11">
        <f t="shared" si="8"/>
        <v>0</v>
      </c>
      <c r="O43" s="40">
        <v>12</v>
      </c>
      <c r="P43" s="13">
        <f t="shared" si="9"/>
        <v>0</v>
      </c>
      <c r="Q43" s="3"/>
      <c r="R43" s="3"/>
      <c r="S43" s="3"/>
      <c r="T43" s="4"/>
      <c r="U43" s="43"/>
      <c r="V43" s="43"/>
      <c r="W43" s="43"/>
      <c r="X43" s="43"/>
      <c r="Y43" s="43"/>
      <c r="Z43" s="43"/>
      <c r="AA43" s="43"/>
      <c r="AB43" s="43"/>
    </row>
    <row r="44" spans="1:28" s="2" customFormat="1" ht="14.35" customHeight="1" x14ac:dyDescent="0.45">
      <c r="A44" s="22">
        <v>15</v>
      </c>
      <c r="B44" s="5"/>
      <c r="C44" s="10"/>
      <c r="D44" s="11">
        <f t="shared" si="6"/>
        <v>0</v>
      </c>
      <c r="E44" s="40">
        <v>12</v>
      </c>
      <c r="F44" s="13">
        <f t="shared" si="7"/>
        <v>0</v>
      </c>
      <c r="G44" s="3"/>
      <c r="H44" s="3"/>
      <c r="I44" s="3"/>
      <c r="K44" s="22">
        <v>15</v>
      </c>
      <c r="L44" s="5"/>
      <c r="M44" s="10"/>
      <c r="N44" s="11">
        <f t="shared" si="8"/>
        <v>0</v>
      </c>
      <c r="O44" s="40">
        <v>12</v>
      </c>
      <c r="P44" s="13">
        <f t="shared" si="9"/>
        <v>0</v>
      </c>
      <c r="Q44" s="3"/>
      <c r="R44" s="3"/>
      <c r="S44" s="3"/>
      <c r="T44" s="4"/>
    </row>
    <row r="45" spans="1:28" s="2" customFormat="1" ht="14.35" customHeight="1" x14ac:dyDescent="0.45">
      <c r="A45" s="22">
        <v>16</v>
      </c>
      <c r="B45" s="5"/>
      <c r="C45" s="10"/>
      <c r="D45" s="11">
        <f t="shared" si="6"/>
        <v>0</v>
      </c>
      <c r="E45" s="40">
        <v>12</v>
      </c>
      <c r="F45" s="13">
        <f t="shared" si="7"/>
        <v>0</v>
      </c>
      <c r="G45" s="3"/>
      <c r="H45" s="3"/>
      <c r="I45" s="3"/>
      <c r="K45" s="22">
        <v>16</v>
      </c>
      <c r="L45" s="5"/>
      <c r="M45" s="10"/>
      <c r="N45" s="11">
        <f t="shared" si="8"/>
        <v>0</v>
      </c>
      <c r="O45" s="40">
        <v>12</v>
      </c>
      <c r="P45" s="13">
        <f t="shared" si="9"/>
        <v>0</v>
      </c>
      <c r="Q45" s="3"/>
      <c r="R45" s="3"/>
      <c r="S45" s="3"/>
      <c r="T45" s="4"/>
    </row>
    <row r="46" spans="1:28" s="2" customFormat="1" ht="14.35" customHeight="1" x14ac:dyDescent="0.45">
      <c r="A46" s="22">
        <v>17</v>
      </c>
      <c r="B46" s="5"/>
      <c r="C46" s="10"/>
      <c r="D46" s="11">
        <f t="shared" si="6"/>
        <v>0</v>
      </c>
      <c r="E46" s="40">
        <v>12</v>
      </c>
      <c r="F46" s="13">
        <f t="shared" si="7"/>
        <v>0</v>
      </c>
      <c r="G46" s="3"/>
      <c r="H46" s="3"/>
      <c r="I46" s="3"/>
      <c r="K46" s="22">
        <v>17</v>
      </c>
      <c r="L46" s="5"/>
      <c r="M46" s="10"/>
      <c r="N46" s="11">
        <f t="shared" si="8"/>
        <v>0</v>
      </c>
      <c r="O46" s="40">
        <v>12</v>
      </c>
      <c r="P46" s="13">
        <f t="shared" si="9"/>
        <v>0</v>
      </c>
      <c r="Q46" s="3"/>
      <c r="R46" s="3"/>
      <c r="S46" s="3"/>
      <c r="T46" s="4"/>
    </row>
    <row r="47" spans="1:28" s="2" customFormat="1" ht="14.35" customHeight="1" x14ac:dyDescent="0.45">
      <c r="A47" s="22">
        <v>18</v>
      </c>
      <c r="B47" s="5"/>
      <c r="C47" s="10"/>
      <c r="D47" s="11">
        <f t="shared" si="6"/>
        <v>0</v>
      </c>
      <c r="E47" s="40">
        <v>12</v>
      </c>
      <c r="F47" s="13">
        <f t="shared" si="7"/>
        <v>0</v>
      </c>
      <c r="G47" s="3"/>
      <c r="H47" s="3"/>
      <c r="I47" s="3"/>
      <c r="K47" s="22">
        <v>18</v>
      </c>
      <c r="L47" s="5"/>
      <c r="M47" s="10"/>
      <c r="N47" s="11">
        <f t="shared" si="8"/>
        <v>0</v>
      </c>
      <c r="O47" s="40">
        <v>12</v>
      </c>
      <c r="P47" s="13">
        <f t="shared" si="9"/>
        <v>0</v>
      </c>
      <c r="Q47" s="3"/>
      <c r="R47" s="3"/>
      <c r="S47" s="3"/>
      <c r="T47" s="4"/>
    </row>
    <row r="48" spans="1:28" s="2" customFormat="1" ht="14.35" customHeight="1" x14ac:dyDescent="0.45">
      <c r="A48" s="22">
        <v>19</v>
      </c>
      <c r="B48" s="5"/>
      <c r="C48" s="10"/>
      <c r="D48" s="11">
        <f t="shared" si="6"/>
        <v>0</v>
      </c>
      <c r="E48" s="40">
        <v>12</v>
      </c>
      <c r="F48" s="13">
        <f t="shared" si="7"/>
        <v>0</v>
      </c>
      <c r="G48" s="3"/>
      <c r="H48" s="3"/>
      <c r="I48" s="3"/>
      <c r="K48" s="22">
        <v>19</v>
      </c>
      <c r="L48" s="5"/>
      <c r="M48" s="10"/>
      <c r="N48" s="11">
        <f t="shared" si="8"/>
        <v>0</v>
      </c>
      <c r="O48" s="40">
        <v>12</v>
      </c>
      <c r="P48" s="13">
        <f t="shared" si="9"/>
        <v>0</v>
      </c>
      <c r="Q48" s="3"/>
      <c r="R48" s="3"/>
      <c r="S48" s="3"/>
      <c r="T48" s="4"/>
    </row>
    <row r="49" spans="1:29" s="2" customFormat="1" ht="14.35" customHeight="1" thickBot="1" x14ac:dyDescent="0.5">
      <c r="A49" s="23">
        <v>20</v>
      </c>
      <c r="B49" s="18"/>
      <c r="C49" s="19"/>
      <c r="D49" s="20">
        <f t="shared" si="6"/>
        <v>0</v>
      </c>
      <c r="E49" s="41">
        <v>12</v>
      </c>
      <c r="F49" s="21">
        <f t="shared" si="7"/>
        <v>0</v>
      </c>
      <c r="G49" s="3"/>
      <c r="H49" s="3"/>
      <c r="I49" s="3"/>
      <c r="K49" s="23">
        <v>20</v>
      </c>
      <c r="L49" s="18"/>
      <c r="M49" s="19"/>
      <c r="N49" s="20">
        <f t="shared" si="8"/>
        <v>0</v>
      </c>
      <c r="O49" s="41">
        <v>12</v>
      </c>
      <c r="P49" s="21">
        <f t="shared" si="9"/>
        <v>0</v>
      </c>
      <c r="Q49" s="3"/>
      <c r="R49" s="3"/>
      <c r="S49" s="3"/>
      <c r="T49" s="4"/>
    </row>
    <row r="50" spans="1:29" s="2" customFormat="1" ht="14.35" customHeight="1" thickTop="1" x14ac:dyDescent="0.45">
      <c r="A50" s="16"/>
      <c r="B50" s="17" t="s">
        <v>2</v>
      </c>
      <c r="C50" s="9">
        <f>SUM(C30:C49)</f>
        <v>128</v>
      </c>
      <c r="D50" s="12">
        <f>SUM(D30:D49)</f>
        <v>1</v>
      </c>
      <c r="E50" s="36" t="s">
        <v>44</v>
      </c>
      <c r="F50" s="14">
        <f>I30*D50</f>
        <v>11180.053</v>
      </c>
      <c r="G50" s="3"/>
      <c r="H50" s="3"/>
      <c r="I50" s="3"/>
      <c r="K50" s="16"/>
      <c r="L50" s="17" t="s">
        <v>2</v>
      </c>
      <c r="M50" s="9">
        <f>SUM(M30:M49)</f>
        <v>58</v>
      </c>
      <c r="N50" s="12">
        <f>SUM(N30:N49)</f>
        <v>1</v>
      </c>
      <c r="O50" s="36" t="s">
        <v>44</v>
      </c>
      <c r="P50" s="14">
        <f>S30*N50</f>
        <v>3447.6539999999995</v>
      </c>
      <c r="Q50" s="3"/>
      <c r="R50" s="3"/>
      <c r="S50" s="3"/>
      <c r="T50" s="4"/>
    </row>
    <row r="51" spans="1:29" s="2" customFormat="1" ht="14.35" customHeight="1" x14ac:dyDescent="0.45">
      <c r="E51" s="38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9" x14ac:dyDescent="0.45">
      <c r="A52" s="2"/>
      <c r="B52" s="2"/>
      <c r="C52" s="2"/>
      <c r="D52" s="2"/>
      <c r="E52" s="38"/>
      <c r="F52" s="2"/>
      <c r="G52" s="2"/>
      <c r="H52" s="2"/>
      <c r="I52" s="2"/>
      <c r="J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45">
      <c r="A53" s="2"/>
      <c r="B53" s="2"/>
      <c r="C53" s="2"/>
      <c r="D53" s="2"/>
      <c r="E53" s="38"/>
      <c r="F53" s="2"/>
      <c r="G53" s="2"/>
      <c r="H53" s="2"/>
      <c r="I53" s="2"/>
      <c r="J53" s="2"/>
      <c r="U53" s="2"/>
      <c r="V53" s="2"/>
      <c r="W53" s="2"/>
      <c r="X53" s="2"/>
      <c r="Y53" s="2"/>
      <c r="Z53" s="2"/>
      <c r="AA53" s="2"/>
      <c r="AB53" s="2"/>
      <c r="AC53" s="2"/>
    </row>
  </sheetData>
  <conditionalFormatting sqref="B4:B23">
    <cfRule type="beginsWith" dxfId="4" priority="10" operator="beginsWith" text="B">
      <formula>LEFT(B4,LEN("B"))="B"</formula>
    </cfRule>
  </conditionalFormatting>
  <conditionalFormatting sqref="B30:B49">
    <cfRule type="beginsWith" dxfId="3" priority="8" operator="beginsWith" text="B">
      <formula>LEFT(B30,LEN("B"))="B"</formula>
    </cfRule>
  </conditionalFormatting>
  <conditionalFormatting sqref="L30:L49">
    <cfRule type="beginsWith" dxfId="2" priority="7" operator="beginsWith" text="B">
      <formula>LEFT(L30,LEN("B"))="B"</formula>
    </cfRule>
  </conditionalFormatting>
  <conditionalFormatting sqref="L4:L23">
    <cfRule type="beginsWith" dxfId="1" priority="6" operator="beginsWith" text="B">
      <formula>LEFT(L4,LEN("B"))="B"</formula>
    </cfRule>
  </conditionalFormatting>
  <conditionalFormatting sqref="V4:V23">
    <cfRule type="beginsWith" dxfId="0" priority="1" operator="beginsWith" text="B">
      <formula>LEFT(V4,LEN("B"))="B"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C685-F142-49E0-A0C8-04EBECB1D341}">
  <dimension ref="B1:AG41"/>
  <sheetViews>
    <sheetView tabSelected="1" topLeftCell="J1" zoomScale="70" zoomScaleNormal="70" workbookViewId="0">
      <selection activeCell="R13" sqref="R13"/>
    </sheetView>
  </sheetViews>
  <sheetFormatPr defaultRowHeight="14.25" x14ac:dyDescent="0.45"/>
  <cols>
    <col min="1" max="1" width="9.06640625" style="64"/>
    <col min="2" max="2" width="10.9296875" style="64" bestFit="1" customWidth="1"/>
    <col min="3" max="3" width="9.59765625" style="64" bestFit="1" customWidth="1"/>
    <col min="4" max="4" width="9.06640625" style="64"/>
    <col min="5" max="5" width="17.1328125" style="64" bestFit="1" customWidth="1"/>
    <col min="6" max="8" width="9.06640625" style="64"/>
    <col min="9" max="9" width="9.265625" style="64" customWidth="1"/>
    <col min="10" max="10" width="22.1328125" style="64" bestFit="1" customWidth="1"/>
    <col min="11" max="11" width="9.9296875" style="64" customWidth="1"/>
    <col min="12" max="12" width="9.59765625" style="64" customWidth="1"/>
    <col min="13" max="13" width="11.46484375" style="64" bestFit="1" customWidth="1"/>
    <col min="14" max="14" width="9.06640625" style="64"/>
    <col min="15" max="15" width="9.6640625" style="64" bestFit="1" customWidth="1"/>
    <col min="16" max="16" width="11.59765625" style="64" bestFit="1" customWidth="1"/>
    <col min="17" max="19" width="9.06640625" style="64"/>
    <col min="20" max="20" width="10.06640625" style="64" bestFit="1" customWidth="1"/>
    <col min="21" max="21" width="22.1328125" style="64" bestFit="1" customWidth="1"/>
    <col min="22" max="22" width="9.06640625" style="64"/>
    <col min="23" max="23" width="10.9296875" style="71" bestFit="1" customWidth="1"/>
    <col min="24" max="25" width="9.06640625" style="64"/>
    <col min="26" max="26" width="11.59765625" style="64" bestFit="1" customWidth="1"/>
    <col min="27" max="28" width="9.06640625" style="64"/>
    <col min="29" max="29" width="10.06640625" style="64" bestFit="1" customWidth="1"/>
    <col min="30" max="30" width="10.06640625" style="64" customWidth="1"/>
    <col min="31" max="31" width="9.06640625" style="64"/>
    <col min="32" max="32" width="22.1328125" style="64" bestFit="1" customWidth="1"/>
    <col min="33" max="16384" width="9.06640625" style="64"/>
  </cols>
  <sheetData>
    <row r="1" spans="2:33" x14ac:dyDescent="0.45">
      <c r="C1" s="64" t="s">
        <v>87</v>
      </c>
    </row>
    <row r="2" spans="2:33" x14ac:dyDescent="0.45">
      <c r="C2" s="64" t="s">
        <v>88</v>
      </c>
    </row>
    <row r="3" spans="2:33" x14ac:dyDescent="0.45">
      <c r="C3" s="64" t="s">
        <v>89</v>
      </c>
    </row>
    <row r="5" spans="2:33" ht="28.6" customHeight="1" x14ac:dyDescent="0.45">
      <c r="B5" s="63" t="s">
        <v>7</v>
      </c>
      <c r="C5" s="63"/>
      <c r="M5" s="63" t="s">
        <v>22</v>
      </c>
      <c r="N5" s="63"/>
      <c r="X5" s="63" t="s">
        <v>23</v>
      </c>
    </row>
    <row r="7" spans="2:33" x14ac:dyDescent="0.45">
      <c r="B7" s="60" t="s">
        <v>56</v>
      </c>
      <c r="C7" s="62">
        <v>5.6</v>
      </c>
      <c r="E7" s="60" t="s">
        <v>68</v>
      </c>
      <c r="F7" s="73">
        <v>2</v>
      </c>
      <c r="J7" s="64" t="s">
        <v>77</v>
      </c>
      <c r="K7" s="64" t="s">
        <v>63</v>
      </c>
      <c r="M7" s="60" t="s">
        <v>56</v>
      </c>
      <c r="N7" s="62">
        <v>3</v>
      </c>
      <c r="P7" s="60" t="s">
        <v>68</v>
      </c>
      <c r="Q7" s="73">
        <v>1</v>
      </c>
      <c r="U7" s="64" t="s">
        <v>77</v>
      </c>
      <c r="V7" s="64" t="s">
        <v>63</v>
      </c>
      <c r="W7" s="6"/>
      <c r="X7" s="60" t="s">
        <v>56</v>
      </c>
      <c r="Y7" s="62">
        <v>1.9</v>
      </c>
      <c r="AA7" s="60" t="s">
        <v>68</v>
      </c>
      <c r="AB7" s="73">
        <v>1.5</v>
      </c>
      <c r="AF7" s="64" t="s">
        <v>77</v>
      </c>
      <c r="AG7" s="64" t="s">
        <v>63</v>
      </c>
    </row>
    <row r="8" spans="2:33" x14ac:dyDescent="0.45">
      <c r="B8" s="60" t="s">
        <v>57</v>
      </c>
      <c r="C8" s="62">
        <v>21</v>
      </c>
      <c r="E8" s="60" t="s">
        <v>70</v>
      </c>
      <c r="F8" s="66">
        <v>29.5</v>
      </c>
      <c r="J8" s="64">
        <v>90</v>
      </c>
      <c r="K8" s="69">
        <v>0</v>
      </c>
      <c r="M8" s="60" t="s">
        <v>57</v>
      </c>
      <c r="N8" s="62">
        <v>32.25</v>
      </c>
      <c r="P8" s="60" t="s">
        <v>70</v>
      </c>
      <c r="Q8" s="66">
        <v>33.5</v>
      </c>
      <c r="U8" s="64">
        <v>90</v>
      </c>
      <c r="V8" s="69">
        <v>0</v>
      </c>
      <c r="W8" s="6"/>
      <c r="X8" s="60" t="s">
        <v>57</v>
      </c>
      <c r="Y8" s="62">
        <v>31.5</v>
      </c>
      <c r="AA8" s="60" t="s">
        <v>70</v>
      </c>
      <c r="AB8" s="66">
        <v>34.5</v>
      </c>
      <c r="AF8" s="64">
        <v>90</v>
      </c>
      <c r="AG8" s="69">
        <v>0</v>
      </c>
    </row>
    <row r="9" spans="2:33" x14ac:dyDescent="0.45">
      <c r="B9" s="60" t="s">
        <v>65</v>
      </c>
      <c r="C9" s="65">
        <v>3</v>
      </c>
      <c r="E9" s="60" t="s">
        <v>69</v>
      </c>
      <c r="F9" s="66">
        <v>19.5</v>
      </c>
      <c r="J9" s="64">
        <v>60</v>
      </c>
      <c r="K9" s="69">
        <v>7.0000000000000001E-3</v>
      </c>
      <c r="M9" s="60" t="s">
        <v>65</v>
      </c>
      <c r="N9" s="65">
        <v>13</v>
      </c>
      <c r="P9" s="60" t="s">
        <v>69</v>
      </c>
      <c r="Q9" s="66">
        <v>23.5</v>
      </c>
      <c r="U9" s="64">
        <v>60</v>
      </c>
      <c r="V9" s="69">
        <v>7.0000000000000001E-3</v>
      </c>
      <c r="W9" s="6"/>
      <c r="X9" s="60" t="s">
        <v>65</v>
      </c>
      <c r="Y9" s="65">
        <v>5</v>
      </c>
      <c r="AA9" s="60" t="s">
        <v>69</v>
      </c>
      <c r="AB9" s="66">
        <v>24.5</v>
      </c>
      <c r="AF9" s="64">
        <v>60</v>
      </c>
      <c r="AG9" s="69">
        <v>7.0000000000000001E-3</v>
      </c>
    </row>
    <row r="10" spans="2:33" x14ac:dyDescent="0.45">
      <c r="B10" s="60" t="s">
        <v>23</v>
      </c>
      <c r="C10" s="65">
        <v>17</v>
      </c>
      <c r="E10" s="60" t="s">
        <v>72</v>
      </c>
      <c r="F10" s="67">
        <v>5.7</v>
      </c>
      <c r="J10" s="64">
        <v>30</v>
      </c>
      <c r="K10" s="69">
        <v>7.0000000000000007E-2</v>
      </c>
      <c r="M10" s="60" t="s">
        <v>23</v>
      </c>
      <c r="N10" s="65">
        <v>9</v>
      </c>
      <c r="P10" s="60" t="s">
        <v>72</v>
      </c>
      <c r="Q10" s="67">
        <v>12.4</v>
      </c>
      <c r="U10" s="64">
        <v>30</v>
      </c>
      <c r="V10" s="69">
        <v>7.0000000000000007E-2</v>
      </c>
      <c r="W10" s="6"/>
      <c r="X10" s="60" t="s">
        <v>23</v>
      </c>
      <c r="Y10" s="65">
        <v>12</v>
      </c>
      <c r="AA10" s="60" t="s">
        <v>72</v>
      </c>
      <c r="AB10" s="67">
        <v>4.7</v>
      </c>
      <c r="AF10" s="64">
        <v>30</v>
      </c>
      <c r="AG10" s="69">
        <v>7.0000000000000007E-2</v>
      </c>
    </row>
    <row r="11" spans="2:33" x14ac:dyDescent="0.45">
      <c r="B11" s="60" t="s">
        <v>66</v>
      </c>
      <c r="C11" s="68">
        <v>14000</v>
      </c>
      <c r="E11" s="60" t="s">
        <v>73</v>
      </c>
      <c r="F11" s="67">
        <v>14.3</v>
      </c>
      <c r="J11" s="64">
        <v>0</v>
      </c>
      <c r="K11" s="69">
        <v>0.4</v>
      </c>
      <c r="M11" s="60" t="s">
        <v>66</v>
      </c>
      <c r="N11" s="68">
        <v>27000</v>
      </c>
      <c r="P11" s="60" t="s">
        <v>73</v>
      </c>
      <c r="Q11" s="67">
        <v>13.9</v>
      </c>
      <c r="U11" s="64">
        <v>0</v>
      </c>
      <c r="V11" s="69">
        <v>0.4</v>
      </c>
      <c r="W11" s="6"/>
      <c r="X11" s="60" t="s">
        <v>66</v>
      </c>
      <c r="Y11" s="68">
        <v>19000</v>
      </c>
      <c r="AA11" s="60" t="s">
        <v>73</v>
      </c>
      <c r="AB11" s="67">
        <v>9.6</v>
      </c>
      <c r="AF11" s="64">
        <v>0</v>
      </c>
      <c r="AG11" s="69">
        <v>0.4</v>
      </c>
    </row>
    <row r="12" spans="2:33" x14ac:dyDescent="0.45">
      <c r="B12" s="60" t="s">
        <v>61</v>
      </c>
      <c r="C12" s="61">
        <v>0.53</v>
      </c>
      <c r="E12" s="60" t="s">
        <v>74</v>
      </c>
      <c r="F12" s="67">
        <v>19000</v>
      </c>
      <c r="M12" s="60" t="s">
        <v>61</v>
      </c>
      <c r="N12" s="61">
        <v>0.5</v>
      </c>
      <c r="P12" s="60" t="s">
        <v>74</v>
      </c>
      <c r="Q12" s="67">
        <v>27000</v>
      </c>
      <c r="W12" s="6"/>
      <c r="X12" s="60" t="s">
        <v>61</v>
      </c>
      <c r="Y12" s="61">
        <v>0.44</v>
      </c>
      <c r="AA12" s="60" t="s">
        <v>74</v>
      </c>
      <c r="AB12" s="67">
        <v>21000</v>
      </c>
    </row>
    <row r="13" spans="2:33" x14ac:dyDescent="0.45">
      <c r="B13" s="60" t="s">
        <v>67</v>
      </c>
      <c r="C13" s="61">
        <v>0.5</v>
      </c>
      <c r="E13" s="60" t="s">
        <v>75</v>
      </c>
      <c r="F13" s="67">
        <v>14000</v>
      </c>
      <c r="M13" s="60" t="s">
        <v>67</v>
      </c>
      <c r="N13" s="61">
        <v>0.15</v>
      </c>
      <c r="P13" s="60" t="s">
        <v>75</v>
      </c>
      <c r="Q13" s="67">
        <v>22000</v>
      </c>
      <c r="W13" s="6"/>
      <c r="X13" s="60" t="s">
        <v>67</v>
      </c>
      <c r="Y13" s="61">
        <v>0.34</v>
      </c>
      <c r="AA13" s="60" t="s">
        <v>75</v>
      </c>
      <c r="AB13" s="67">
        <v>16000</v>
      </c>
    </row>
    <row r="14" spans="2:33" x14ac:dyDescent="0.45">
      <c r="B14" s="60" t="s">
        <v>62</v>
      </c>
      <c r="C14" s="68">
        <v>30</v>
      </c>
      <c r="E14" s="60" t="s">
        <v>71</v>
      </c>
      <c r="F14" s="64">
        <v>2</v>
      </c>
      <c r="M14" s="60" t="s">
        <v>62</v>
      </c>
      <c r="N14" s="68">
        <v>30</v>
      </c>
      <c r="P14" s="60" t="s">
        <v>71</v>
      </c>
      <c r="Q14" s="64">
        <v>2.5</v>
      </c>
      <c r="W14" s="6"/>
      <c r="X14" s="60" t="s">
        <v>62</v>
      </c>
      <c r="Y14" s="68">
        <v>30</v>
      </c>
      <c r="AA14" s="60" t="s">
        <v>71</v>
      </c>
      <c r="AB14" s="64">
        <v>2.5</v>
      </c>
    </row>
    <row r="17" spans="2:33" x14ac:dyDescent="0.45">
      <c r="C17" s="60" t="s">
        <v>83</v>
      </c>
      <c r="D17" s="60" t="s">
        <v>76</v>
      </c>
      <c r="E17" s="60" t="s">
        <v>82</v>
      </c>
      <c r="F17" s="60" t="s">
        <v>60</v>
      </c>
      <c r="G17" s="60" t="s">
        <v>80</v>
      </c>
      <c r="H17" s="60" t="s">
        <v>90</v>
      </c>
      <c r="J17" s="72" t="s">
        <v>2</v>
      </c>
      <c r="K17" s="70">
        <f>SUM(F18:F21)</f>
        <v>20.503522753361381</v>
      </c>
      <c r="N17" s="60" t="s">
        <v>83</v>
      </c>
      <c r="O17" s="60" t="s">
        <v>76</v>
      </c>
      <c r="P17" s="60" t="s">
        <v>82</v>
      </c>
      <c r="Q17" s="60" t="s">
        <v>60</v>
      </c>
      <c r="R17" s="60" t="s">
        <v>80</v>
      </c>
      <c r="S17" s="60" t="s">
        <v>90</v>
      </c>
      <c r="U17" s="72" t="s">
        <v>2</v>
      </c>
      <c r="V17" s="70">
        <f>SUM(Q18:Q21)</f>
        <v>47.895000000000003</v>
      </c>
      <c r="Y17" s="60" t="s">
        <v>83</v>
      </c>
      <c r="Z17" s="60" t="s">
        <v>76</v>
      </c>
      <c r="AA17" s="60" t="s">
        <v>82</v>
      </c>
      <c r="AB17" s="60" t="s">
        <v>60</v>
      </c>
      <c r="AC17" s="60" t="s">
        <v>80</v>
      </c>
      <c r="AD17" s="60" t="s">
        <v>90</v>
      </c>
      <c r="AF17" s="72" t="s">
        <v>2</v>
      </c>
      <c r="AG17" s="70">
        <f>SUM(AB18:AB21)</f>
        <v>55.923218761737182</v>
      </c>
    </row>
    <row r="18" spans="2:33" x14ac:dyDescent="0.45">
      <c r="B18" s="60" t="s">
        <v>56</v>
      </c>
      <c r="C18" s="75">
        <v>0.47</v>
      </c>
      <c r="D18" s="76">
        <f>1- 0.9*ABS(C7-F7)/(F14)</f>
        <v>-0.61999999999999988</v>
      </c>
      <c r="E18" s="77">
        <f>IF(D18&gt;1,1,IF(D18&lt;0,0,D18))</f>
        <v>0</v>
      </c>
      <c r="F18" s="78">
        <f>C18*E18*100</f>
        <v>0</v>
      </c>
      <c r="G18" s="75">
        <v>0</v>
      </c>
      <c r="H18" s="77">
        <f>IF(G18&gt;1,1,IF(G18&lt;0,0,G18))</f>
        <v>0</v>
      </c>
      <c r="J18" s="72" t="s">
        <v>64</v>
      </c>
      <c r="K18" s="70">
        <f>(K17/10)^2</f>
        <v>4.2039444529760788</v>
      </c>
      <c r="M18" s="60" t="s">
        <v>59</v>
      </c>
      <c r="N18" s="75">
        <v>0.43</v>
      </c>
      <c r="O18" s="76">
        <f>(N11-Q13)/(Q12-Q13)</f>
        <v>1</v>
      </c>
      <c r="P18" s="77">
        <f>IF(O18&gt;1,1,IF(O18&lt;0,0,O18))</f>
        <v>1</v>
      </c>
      <c r="Q18" s="78">
        <f>N18*P18*100</f>
        <v>43</v>
      </c>
      <c r="R18" s="75">
        <f>IF(O18&lt;0,IF(N11&gt;Q12,(N11-Q12),(Q13-N11))/1000*0.2,0)</f>
        <v>0</v>
      </c>
      <c r="S18" s="77">
        <f>IF(R18&gt;1,1,IF(R18&lt;0,0,R18))</f>
        <v>0</v>
      </c>
      <c r="U18" s="72" t="s">
        <v>64</v>
      </c>
      <c r="V18" s="70">
        <f>(V17/10)^2</f>
        <v>22.939310250000002</v>
      </c>
      <c r="W18" s="6"/>
      <c r="X18" s="60" t="s">
        <v>58</v>
      </c>
      <c r="Y18" s="75">
        <v>0.43</v>
      </c>
      <c r="Z18" s="76">
        <f>1-SQRT(ABS(Y9-AB10)^2+ABS(Y10-AB11)^2)/4</f>
        <v>0.3953306688776087</v>
      </c>
      <c r="AA18" s="77">
        <f>IF(Z18&gt;1,1,IF(Z18&lt;0,0,Z18))</f>
        <v>0.3953306688776087</v>
      </c>
      <c r="AB18" s="78">
        <f>Y18*AA18*100</f>
        <v>16.999218761737175</v>
      </c>
      <c r="AC18" s="75">
        <f>IF(Z18&lt;0, 1, 0)</f>
        <v>0</v>
      </c>
      <c r="AD18" s="77">
        <f>IF(AC18&gt;1,1,IF(AC18&lt;0,0,AC18))</f>
        <v>0</v>
      </c>
      <c r="AF18" s="72" t="s">
        <v>64</v>
      </c>
      <c r="AG18" s="70">
        <f>(AG17/10)^2</f>
        <v>31.274063966731141</v>
      </c>
    </row>
    <row r="19" spans="2:33" x14ac:dyDescent="0.45">
      <c r="B19" s="60" t="s">
        <v>57</v>
      </c>
      <c r="C19" s="75">
        <v>0.23</v>
      </c>
      <c r="D19" s="76">
        <f>1-(C8-F9)/(F8-F9)</f>
        <v>0.85</v>
      </c>
      <c r="E19" s="77">
        <f t="shared" ref="E19:E21" si="0">IF(D19&gt;1,1,IF(D19&lt;0,0,D19))</f>
        <v>0.85</v>
      </c>
      <c r="F19" s="78">
        <f t="shared" ref="F19:F21" si="1">C19*E19*100</f>
        <v>19.55</v>
      </c>
      <c r="G19" s="75">
        <f>IF(D19&lt;0,IF(C8&gt;F8,(C8-F8),(F9-C8))*0.2,0)</f>
        <v>0</v>
      </c>
      <c r="H19" s="77">
        <f t="shared" ref="H19:H21" si="2">IF(G19&gt;1,1,IF(G19&lt;0,0,G19))</f>
        <v>0</v>
      </c>
      <c r="J19" s="72" t="s">
        <v>78</v>
      </c>
      <c r="K19" s="70">
        <f>K18*(1-VLOOKUP(C14,J7:K11,2,FALSE))</f>
        <v>3.9096683412677531</v>
      </c>
      <c r="M19" s="60" t="s">
        <v>58</v>
      </c>
      <c r="N19" s="75">
        <v>0.28999999999999998</v>
      </c>
      <c r="O19" s="76">
        <f>1-SQRT(ABS(N9-Q10)^2+ABS(N10-Q11)^2)/4</f>
        <v>-0.23414950471974838</v>
      </c>
      <c r="P19" s="77">
        <f>IF(O19&gt;1,1,IF(O19&lt;0,0,O19))</f>
        <v>0</v>
      </c>
      <c r="Q19" s="78">
        <f>N19*P19*100</f>
        <v>0</v>
      </c>
      <c r="R19" s="75">
        <f>IF(O19&lt;0, 1, 0)</f>
        <v>1</v>
      </c>
      <c r="S19" s="77">
        <f t="shared" ref="S19:S21" si="3">IF(R19&gt;1,1,IF(R19&lt;0,0,R19))</f>
        <v>1</v>
      </c>
      <c r="U19" s="72" t="s">
        <v>78</v>
      </c>
      <c r="V19" s="70">
        <f>V18*(1-VLOOKUP(N14,U7:V11,2,FALSE))</f>
        <v>21.3335585325</v>
      </c>
      <c r="W19" s="6"/>
      <c r="X19" s="60" t="s">
        <v>56</v>
      </c>
      <c r="Y19" s="75">
        <v>0.28999999999999998</v>
      </c>
      <c r="Z19" s="76">
        <f>1- 0.9*ABS(Y7-AB7)/(AB14)</f>
        <v>0.85600000000000009</v>
      </c>
      <c r="AA19" s="77">
        <f>IF(Z19&gt;1,1,IF(Z19&lt;0,0,Z19))</f>
        <v>0.85600000000000009</v>
      </c>
      <c r="AB19" s="78">
        <f>Y19*AA19*100</f>
        <v>24.824000000000002</v>
      </c>
      <c r="AC19" s="75">
        <v>0</v>
      </c>
      <c r="AD19" s="77">
        <f t="shared" ref="AD19:AD21" si="4">IF(AC19&gt;1,1,IF(AC19&lt;0,0,AC19))</f>
        <v>0</v>
      </c>
      <c r="AF19" s="72" t="s">
        <v>78</v>
      </c>
      <c r="AG19" s="70">
        <f>AG18*(1-VLOOKUP(Y14,AF7:AG11,2,FALSE))</f>
        <v>29.084879489059958</v>
      </c>
    </row>
    <row r="20" spans="2:33" x14ac:dyDescent="0.45">
      <c r="B20" s="60" t="s">
        <v>58</v>
      </c>
      <c r="C20" s="75">
        <v>0.21</v>
      </c>
      <c r="D20" s="76">
        <f>1-SQRT(ABS(C9-F10)^2+ABS(C10-F11)^2)/4</f>
        <v>4.5405845398160949E-2</v>
      </c>
      <c r="E20" s="77">
        <f t="shared" si="0"/>
        <v>4.5405845398160949E-2</v>
      </c>
      <c r="F20" s="78">
        <f t="shared" si="1"/>
        <v>0.95352275336137993</v>
      </c>
      <c r="G20" s="75">
        <f>IF(D20&lt;0, 1, 0)</f>
        <v>0</v>
      </c>
      <c r="H20" s="77">
        <f t="shared" si="2"/>
        <v>0</v>
      </c>
      <c r="J20" s="72" t="s">
        <v>79</v>
      </c>
      <c r="K20" s="70">
        <f>K19*(1-(1-C12)/2)*(1-(1-C13)/2)</f>
        <v>2.2431722108023733</v>
      </c>
      <c r="M20" s="60" t="s">
        <v>57</v>
      </c>
      <c r="N20" s="75">
        <v>0.19</v>
      </c>
      <c r="O20" s="76">
        <f>1-(N8-Q9)/(Q8-Q9)</f>
        <v>0.125</v>
      </c>
      <c r="P20" s="77">
        <f>IF(O20&gt;1,1,IF(O20&lt;0,0,O20))</f>
        <v>0.125</v>
      </c>
      <c r="Q20" s="78">
        <f>N20*P20*100</f>
        <v>2.375</v>
      </c>
      <c r="R20" s="75">
        <f>IF(O20&lt;0,IF(N8&gt;Q8,(N8-Q8),(Q9-N8))*0.2,0)</f>
        <v>0</v>
      </c>
      <c r="S20" s="77">
        <f t="shared" si="3"/>
        <v>0</v>
      </c>
      <c r="U20" s="72" t="s">
        <v>79</v>
      </c>
      <c r="V20" s="70">
        <f>V19*(1-(1-N12)/2)*(1-(1-N13)/2)</f>
        <v>9.2000971171406238</v>
      </c>
      <c r="W20" s="6"/>
      <c r="X20" s="60" t="s">
        <v>59</v>
      </c>
      <c r="Y20" s="75">
        <v>0.19</v>
      </c>
      <c r="Z20" s="76">
        <f>(Y11-AB13)/(AB12-AB13)</f>
        <v>0.6</v>
      </c>
      <c r="AA20" s="77">
        <f>IF(Z20&gt;1,1,IF(Z20&lt;0,0,Z20))</f>
        <v>0.6</v>
      </c>
      <c r="AB20" s="78">
        <f>Y20*AA20*100</f>
        <v>11.399999999999999</v>
      </c>
      <c r="AC20" s="75">
        <f>IF(Z20&lt;0,IF(Y11&gt;AB12,(Y11-AB12),(AB13-Y11))/1000*0.2,0)</f>
        <v>0</v>
      </c>
      <c r="AD20" s="77">
        <f t="shared" si="4"/>
        <v>0</v>
      </c>
      <c r="AF20" s="72" t="s">
        <v>79</v>
      </c>
      <c r="AG20" s="70">
        <f>AG19*(1-(1-Y12)/2)*(1-(1-Y13)/2)</f>
        <v>14.030545865522523</v>
      </c>
    </row>
    <row r="21" spans="2:33" x14ac:dyDescent="0.45">
      <c r="B21" s="60" t="s">
        <v>59</v>
      </c>
      <c r="C21" s="75">
        <v>0.09</v>
      </c>
      <c r="D21" s="76">
        <f>(C11-F13)/(F12-F13)</f>
        <v>0</v>
      </c>
      <c r="E21" s="77">
        <f t="shared" si="0"/>
        <v>0</v>
      </c>
      <c r="F21" s="78">
        <f t="shared" si="1"/>
        <v>0</v>
      </c>
      <c r="G21" s="75">
        <f>IF(D21&lt;0,IF(C11&gt;F12,(C11-F12),(F13-C11))/1000*0.2,0)</f>
        <v>0</v>
      </c>
      <c r="H21" s="77">
        <f t="shared" si="2"/>
        <v>0</v>
      </c>
      <c r="J21" s="72" t="s">
        <v>81</v>
      </c>
      <c r="K21" s="74">
        <f>K20*(1-H20)*(1-H18)*(1-H21)*(1-H19)</f>
        <v>2.2431722108023733</v>
      </c>
      <c r="M21" s="60" t="s">
        <v>56</v>
      </c>
      <c r="N21" s="75">
        <v>0.09</v>
      </c>
      <c r="O21" s="76">
        <f>1- 0.9*ABS(N7-Q7)/(Q14)</f>
        <v>0.28000000000000003</v>
      </c>
      <c r="P21" s="77">
        <f>IF(O21&gt;1,1,IF(O21&lt;0,0,O21))</f>
        <v>0.28000000000000003</v>
      </c>
      <c r="Q21" s="78">
        <f>N21*P21*100</f>
        <v>2.52</v>
      </c>
      <c r="R21" s="75">
        <v>0</v>
      </c>
      <c r="S21" s="77">
        <f t="shared" si="3"/>
        <v>0</v>
      </c>
      <c r="U21" s="72" t="s">
        <v>81</v>
      </c>
      <c r="V21" s="74">
        <f>V20*(1-S20)*(1-S18)*(1-S21)*(1-S19)</f>
        <v>0</v>
      </c>
      <c r="W21" s="6"/>
      <c r="X21" s="60" t="s">
        <v>57</v>
      </c>
      <c r="Y21" s="75">
        <v>0.09</v>
      </c>
      <c r="Z21" s="76">
        <f>1-(Y8-AB9)/(AB8-AB9)</f>
        <v>0.30000000000000004</v>
      </c>
      <c r="AA21" s="77">
        <f>IF(Z21&gt;1,1,IF(Z21&lt;0,0,Z21))</f>
        <v>0.30000000000000004</v>
      </c>
      <c r="AB21" s="78">
        <f>Y21*AA21*100</f>
        <v>2.7</v>
      </c>
      <c r="AC21" s="75">
        <f>IF(Z21&lt;0,IF(Y8&gt;AB8,(Y8-AB8),(AB9-Y8))*0.2,0)</f>
        <v>0</v>
      </c>
      <c r="AD21" s="77">
        <f t="shared" si="4"/>
        <v>0</v>
      </c>
      <c r="AF21" s="72" t="s">
        <v>81</v>
      </c>
      <c r="AG21" s="74">
        <f>AG20*(1-AD20)*(1-AD18)*(1-AD21)*(1-AD19)</f>
        <v>14.030545865522523</v>
      </c>
    </row>
    <row r="22" spans="2:33" x14ac:dyDescent="0.45">
      <c r="F22" s="69"/>
      <c r="K22" s="64" t="s">
        <v>84</v>
      </c>
      <c r="V22" s="64" t="s">
        <v>86</v>
      </c>
      <c r="AG22" s="64" t="s">
        <v>85</v>
      </c>
    </row>
    <row r="23" spans="2:33" x14ac:dyDescent="0.45">
      <c r="F23" s="69"/>
    </row>
    <row r="24" spans="2:33" ht="28.6" customHeight="1" x14ac:dyDescent="0.45">
      <c r="B24" s="63" t="s">
        <v>20</v>
      </c>
      <c r="C24" s="63"/>
      <c r="M24" s="63" t="s">
        <v>21</v>
      </c>
      <c r="N24" s="63"/>
    </row>
    <row r="26" spans="2:33" x14ac:dyDescent="0.45">
      <c r="B26" s="60" t="s">
        <v>56</v>
      </c>
      <c r="C26" s="62">
        <v>5.6</v>
      </c>
      <c r="E26" s="60" t="s">
        <v>68</v>
      </c>
      <c r="F26" s="73">
        <v>7</v>
      </c>
      <c r="J26" s="64" t="s">
        <v>77</v>
      </c>
      <c r="K26" s="64" t="s">
        <v>63</v>
      </c>
      <c r="M26" s="60" t="s">
        <v>56</v>
      </c>
      <c r="N26" s="62">
        <v>3</v>
      </c>
      <c r="P26" s="60" t="s">
        <v>68</v>
      </c>
      <c r="Q26" s="73">
        <v>0</v>
      </c>
      <c r="U26" s="64" t="s">
        <v>77</v>
      </c>
      <c r="V26" s="64" t="s">
        <v>63</v>
      </c>
    </row>
    <row r="27" spans="2:33" x14ac:dyDescent="0.45">
      <c r="B27" s="60" t="s">
        <v>57</v>
      </c>
      <c r="C27" s="62">
        <v>22</v>
      </c>
      <c r="E27" s="60" t="s">
        <v>70</v>
      </c>
      <c r="F27" s="66">
        <v>24.5</v>
      </c>
      <c r="J27" s="64">
        <v>90</v>
      </c>
      <c r="K27" s="69">
        <v>0</v>
      </c>
      <c r="M27" s="60" t="s">
        <v>57</v>
      </c>
      <c r="N27" s="62">
        <v>32.25</v>
      </c>
      <c r="P27" s="60" t="s">
        <v>70</v>
      </c>
      <c r="Q27" s="66">
        <v>38.5</v>
      </c>
      <c r="U27" s="64">
        <v>90</v>
      </c>
      <c r="V27" s="69">
        <v>0</v>
      </c>
    </row>
    <row r="28" spans="2:33" x14ac:dyDescent="0.45">
      <c r="B28" s="60" t="s">
        <v>65</v>
      </c>
      <c r="C28" s="65">
        <v>3</v>
      </c>
      <c r="E28" s="60" t="s">
        <v>69</v>
      </c>
      <c r="F28" s="66">
        <v>14.5</v>
      </c>
      <c r="J28" s="64">
        <v>60</v>
      </c>
      <c r="K28" s="69">
        <v>7.0000000000000001E-3</v>
      </c>
      <c r="M28" s="60" t="s">
        <v>65</v>
      </c>
      <c r="N28" s="65">
        <v>13</v>
      </c>
      <c r="P28" s="60" t="s">
        <v>69</v>
      </c>
      <c r="Q28" s="66">
        <v>28.5</v>
      </c>
      <c r="U28" s="64">
        <v>60</v>
      </c>
      <c r="V28" s="69">
        <v>7.0000000000000001E-3</v>
      </c>
    </row>
    <row r="29" spans="2:33" x14ac:dyDescent="0.45">
      <c r="B29" s="60" t="s">
        <v>23</v>
      </c>
      <c r="C29" s="65">
        <v>17</v>
      </c>
      <c r="E29" s="60" t="s">
        <v>72</v>
      </c>
      <c r="F29" s="67">
        <v>2.2000000000000002</v>
      </c>
      <c r="J29" s="64">
        <v>30</v>
      </c>
      <c r="K29" s="69">
        <v>7.0000000000000007E-2</v>
      </c>
      <c r="M29" s="60" t="s">
        <v>23</v>
      </c>
      <c r="N29" s="65">
        <v>9</v>
      </c>
      <c r="P29" s="60" t="s">
        <v>72</v>
      </c>
      <c r="Q29" s="67">
        <v>11.6</v>
      </c>
      <c r="U29" s="64">
        <v>30</v>
      </c>
      <c r="V29" s="69">
        <v>7.0000000000000007E-2</v>
      </c>
    </row>
    <row r="30" spans="2:33" x14ac:dyDescent="0.45">
      <c r="B30" s="60" t="s">
        <v>66</v>
      </c>
      <c r="C30" s="68">
        <v>13000</v>
      </c>
      <c r="E30" s="60" t="s">
        <v>73</v>
      </c>
      <c r="F30" s="67">
        <v>17.8</v>
      </c>
      <c r="J30" s="64">
        <v>0</v>
      </c>
      <c r="K30" s="69">
        <v>0.4</v>
      </c>
      <c r="M30" s="60" t="s">
        <v>66</v>
      </c>
      <c r="N30" s="68">
        <v>27000</v>
      </c>
      <c r="P30" s="60" t="s">
        <v>73</v>
      </c>
      <c r="Q30" s="67">
        <v>8.4</v>
      </c>
      <c r="U30" s="64">
        <v>0</v>
      </c>
      <c r="V30" s="69">
        <v>0.4</v>
      </c>
    </row>
    <row r="31" spans="2:33" x14ac:dyDescent="0.45">
      <c r="B31" s="60" t="s">
        <v>61</v>
      </c>
      <c r="C31" s="61">
        <v>0.5</v>
      </c>
      <c r="E31" s="60" t="s">
        <v>74</v>
      </c>
      <c r="F31" s="67">
        <v>17000</v>
      </c>
      <c r="M31" s="60" t="s">
        <v>61</v>
      </c>
      <c r="N31" s="61">
        <v>0.5</v>
      </c>
      <c r="P31" s="60" t="s">
        <v>74</v>
      </c>
      <c r="Q31" s="67">
        <v>25000</v>
      </c>
    </row>
    <row r="32" spans="2:33" x14ac:dyDescent="0.45">
      <c r="B32" s="60" t="s">
        <v>67</v>
      </c>
      <c r="C32" s="61">
        <v>0.37</v>
      </c>
      <c r="E32" s="60" t="s">
        <v>75</v>
      </c>
      <c r="F32" s="67">
        <v>12000</v>
      </c>
      <c r="M32" s="60" t="s">
        <v>67</v>
      </c>
      <c r="N32" s="61">
        <v>0.22</v>
      </c>
      <c r="P32" s="60" t="s">
        <v>75</v>
      </c>
      <c r="Q32" s="67">
        <v>20000</v>
      </c>
    </row>
    <row r="33" spans="2:22" x14ac:dyDescent="0.45">
      <c r="B33" s="60" t="s">
        <v>62</v>
      </c>
      <c r="C33" s="68">
        <v>30</v>
      </c>
      <c r="E33" s="60" t="s">
        <v>71</v>
      </c>
      <c r="F33" s="64">
        <v>5</v>
      </c>
      <c r="M33" s="60" t="s">
        <v>62</v>
      </c>
      <c r="N33" s="68">
        <v>30</v>
      </c>
      <c r="P33" s="60" t="s">
        <v>71</v>
      </c>
      <c r="Q33" s="64">
        <v>3</v>
      </c>
    </row>
    <row r="36" spans="2:22" x14ac:dyDescent="0.45">
      <c r="C36" s="60" t="s">
        <v>83</v>
      </c>
      <c r="D36" s="60" t="s">
        <v>76</v>
      </c>
      <c r="E36" s="60" t="s">
        <v>82</v>
      </c>
      <c r="F36" s="60" t="s">
        <v>60</v>
      </c>
      <c r="G36" s="60" t="s">
        <v>80</v>
      </c>
      <c r="H36" s="60" t="s">
        <v>90</v>
      </c>
      <c r="J36" s="72" t="s">
        <v>2</v>
      </c>
      <c r="K36" s="70">
        <f>SUM(F37:F40)</f>
        <v>44.076516600406087</v>
      </c>
      <c r="N36" s="60" t="s">
        <v>83</v>
      </c>
      <c r="O36" s="60" t="s">
        <v>76</v>
      </c>
      <c r="P36" s="60" t="s">
        <v>82</v>
      </c>
      <c r="Q36" s="60" t="s">
        <v>60</v>
      </c>
      <c r="R36" s="60" t="s">
        <v>80</v>
      </c>
      <c r="S36" s="60" t="s">
        <v>90</v>
      </c>
      <c r="U36" s="72" t="s">
        <v>2</v>
      </c>
      <c r="V36" s="70">
        <f>SUM(Q37:Q40)</f>
        <v>54.15108782239259</v>
      </c>
    </row>
    <row r="37" spans="2:22" x14ac:dyDescent="0.45">
      <c r="B37" s="60" t="s">
        <v>57</v>
      </c>
      <c r="C37" s="75">
        <v>0.53</v>
      </c>
      <c r="D37" s="76">
        <f>1-(C27-F28)/(F27-F28)</f>
        <v>0.25</v>
      </c>
      <c r="E37" s="77">
        <f>IF(D37&gt;1,1,IF(D37&lt;0,0,D37))</f>
        <v>0.25</v>
      </c>
      <c r="F37" s="78">
        <f>C37*E37*100</f>
        <v>13.25</v>
      </c>
      <c r="G37" s="75">
        <f>IF(D37&lt;0,IF(C27&gt;F27,(C27-F27),(F28-C27))*0.2,0)</f>
        <v>0</v>
      </c>
      <c r="H37" s="77">
        <f>IF(G37&gt;1,1,IF(G37&lt;0,0,G37))</f>
        <v>0</v>
      </c>
      <c r="J37" s="72" t="s">
        <v>64</v>
      </c>
      <c r="K37" s="70">
        <f>(K36/10)^2</f>
        <v>19.427393156258731</v>
      </c>
      <c r="M37" s="60" t="s">
        <v>58</v>
      </c>
      <c r="N37" s="75">
        <v>0.43</v>
      </c>
      <c r="O37" s="76">
        <f>1-SQRT(ABS(N28-Q29)^2+ABS(N29-Q30)^2)/4</f>
        <v>0.6192113447068045</v>
      </c>
      <c r="P37" s="77">
        <f>IF(O37&gt;1,1,IF(O37&lt;0,0,O37))</f>
        <v>0.6192113447068045</v>
      </c>
      <c r="Q37" s="78">
        <f>N37*P37*100</f>
        <v>26.626087822392591</v>
      </c>
      <c r="R37" s="75">
        <f>IF(O37&lt;0, 1, 0)</f>
        <v>0</v>
      </c>
      <c r="S37" s="77">
        <f>IF(R37&gt;1,1,IF(R37&lt;0,0,R37))</f>
        <v>0</v>
      </c>
      <c r="U37" s="72" t="s">
        <v>64</v>
      </c>
      <c r="V37" s="70">
        <f>(V36/10)^2</f>
        <v>29.323403123484752</v>
      </c>
    </row>
    <row r="38" spans="2:22" x14ac:dyDescent="0.45">
      <c r="B38" s="60" t="s">
        <v>56</v>
      </c>
      <c r="C38" s="75">
        <v>0.24</v>
      </c>
      <c r="D38" s="76">
        <f>1- 0.9*ABS(C26-F26)/(F33)</f>
        <v>0.74799999999999989</v>
      </c>
      <c r="E38" s="77">
        <f>IF(D38&gt;1,1,IF(D38&lt;0,0,D38))</f>
        <v>0.74799999999999989</v>
      </c>
      <c r="F38" s="78">
        <f>C38*E38*100</f>
        <v>17.951999999999995</v>
      </c>
      <c r="G38" s="75">
        <v>0</v>
      </c>
      <c r="H38" s="77">
        <f t="shared" ref="H38:H40" si="5">IF(G38&gt;1,1,IF(G38&lt;0,0,G38))</f>
        <v>0</v>
      </c>
      <c r="J38" s="72" t="s">
        <v>78</v>
      </c>
      <c r="K38" s="70">
        <f>K37*(1-VLOOKUP(C33,J26:K30,2,FALSE))</f>
        <v>18.067475635320619</v>
      </c>
      <c r="M38" s="60" t="s">
        <v>56</v>
      </c>
      <c r="N38" s="75">
        <v>0.28999999999999998</v>
      </c>
      <c r="O38" s="76">
        <f>1- 0.9*ABS(N26-Q26)/(Q33)</f>
        <v>9.9999999999999978E-2</v>
      </c>
      <c r="P38" s="77">
        <f>IF(O38&gt;1,1,IF(O38&lt;0,0,O38))</f>
        <v>9.9999999999999978E-2</v>
      </c>
      <c r="Q38" s="78">
        <f>N38*P38*100</f>
        <v>2.899999999999999</v>
      </c>
      <c r="R38" s="75">
        <v>0</v>
      </c>
      <c r="S38" s="77">
        <f t="shared" ref="S38:S40" si="6">IF(R38&gt;1,1,IF(R38&lt;0,0,R38))</f>
        <v>0</v>
      </c>
      <c r="U38" s="72" t="s">
        <v>78</v>
      </c>
      <c r="V38" s="70">
        <f>V37*(1-VLOOKUP(N33,U26:V30,2,FALSE))</f>
        <v>27.270764904840817</v>
      </c>
    </row>
    <row r="39" spans="2:22" x14ac:dyDescent="0.45">
      <c r="B39" s="60" t="s">
        <v>58</v>
      </c>
      <c r="C39" s="75">
        <v>0.16</v>
      </c>
      <c r="D39" s="76">
        <f>1-SQRT(ABS(C28-F29)^2+ABS(C29-F30)^2)/4</f>
        <v>0.71715728752538088</v>
      </c>
      <c r="E39" s="77">
        <f>IF(D39&gt;1,1,IF(D39&lt;0,0,D39))</f>
        <v>0.71715728752538088</v>
      </c>
      <c r="F39" s="78">
        <f>C39*E39*100</f>
        <v>11.474516600406094</v>
      </c>
      <c r="G39" s="75">
        <f>IF(D39&lt;0, 1, 0)</f>
        <v>0</v>
      </c>
      <c r="H39" s="77">
        <f t="shared" si="5"/>
        <v>0</v>
      </c>
      <c r="J39" s="72" t="s">
        <v>79</v>
      </c>
      <c r="K39" s="70">
        <f>K38*(1-(1-C31)/2)*(1-(1-C32)/2)</f>
        <v>9.2821656076459682</v>
      </c>
      <c r="M39" s="60" t="s">
        <v>59</v>
      </c>
      <c r="N39" s="75">
        <v>0.19</v>
      </c>
      <c r="O39" s="76">
        <f>(N30-Q32)/(Q31-Q32)</f>
        <v>1.4</v>
      </c>
      <c r="P39" s="77">
        <f>IF(O39&gt;1,1,IF(O39&lt;0,0,O39))</f>
        <v>1</v>
      </c>
      <c r="Q39" s="78">
        <f>N39*P39*100</f>
        <v>19</v>
      </c>
      <c r="R39" s="75">
        <f>IF(O39&lt;0,IF(N30&gt;Q31,(N30-Q31),(Q32-N30))/1000*0.2,0)</f>
        <v>0</v>
      </c>
      <c r="S39" s="77">
        <f t="shared" si="6"/>
        <v>0</v>
      </c>
      <c r="U39" s="72" t="s">
        <v>79</v>
      </c>
      <c r="V39" s="70">
        <f>V38*(1-(1-N31)/2)*(1-(1-N32)/2)</f>
        <v>12.476374943964673</v>
      </c>
    </row>
    <row r="40" spans="2:22" x14ac:dyDescent="0.45">
      <c r="B40" s="60" t="s">
        <v>59</v>
      </c>
      <c r="C40" s="75">
        <v>7.0000000000000007E-2</v>
      </c>
      <c r="D40" s="76">
        <f>(C30-F32)/(F31-F32)</f>
        <v>0.2</v>
      </c>
      <c r="E40" s="77">
        <f>IF(D40&gt;1,1,IF(D40&lt;0,0,D40))</f>
        <v>0.2</v>
      </c>
      <c r="F40" s="78">
        <f>C40*E40*100</f>
        <v>1.4000000000000001</v>
      </c>
      <c r="G40" s="75">
        <f>IF(D40&lt;0,IF(C30&gt;F31,(C30-F31),(F32-C30))/1000*0.2,0)</f>
        <v>0</v>
      </c>
      <c r="H40" s="77">
        <f t="shared" si="5"/>
        <v>0</v>
      </c>
      <c r="J40" s="72" t="s">
        <v>81</v>
      </c>
      <c r="K40" s="74">
        <f>K39*(1-H39)*(1-H37)*(1-H40)*(1-H38)</f>
        <v>9.2821656076459682</v>
      </c>
      <c r="M40" s="60" t="s">
        <v>57</v>
      </c>
      <c r="N40" s="75">
        <v>0.09</v>
      </c>
      <c r="O40" s="76">
        <f>1-(N27-Q28)/(Q27-Q28)</f>
        <v>0.625</v>
      </c>
      <c r="P40" s="77">
        <f>IF(O40&gt;1,1,IF(O40&lt;0,0,O40))</f>
        <v>0.625</v>
      </c>
      <c r="Q40" s="78">
        <f>N40*P40*100</f>
        <v>5.6249999999999991</v>
      </c>
      <c r="R40" s="75">
        <f>IF(O40&lt;0,IF(N27&gt;Q27,(N27-Q27),(Q28-N27))*0.2,0)</f>
        <v>0</v>
      </c>
      <c r="S40" s="77">
        <f t="shared" si="6"/>
        <v>0</v>
      </c>
      <c r="U40" s="72" t="s">
        <v>81</v>
      </c>
      <c r="V40" s="74">
        <f>V39*(1-S39)*(1-S37)*(1-S40)*(1-S38)</f>
        <v>12.476374943964673</v>
      </c>
    </row>
    <row r="41" spans="2:22" x14ac:dyDescent="0.45">
      <c r="K41" s="64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forecaster</vt:lpstr>
      <vt:lpstr>survey score</vt:lpstr>
    </vt:vector>
  </TitlesOfParts>
  <Company>Brigham Young University-Hawaii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 Student</dc:creator>
  <cp:lastModifiedBy>Sou Mizobuchi</cp:lastModifiedBy>
  <dcterms:created xsi:type="dcterms:W3CDTF">2016-05-06T05:52:40Z</dcterms:created>
  <dcterms:modified xsi:type="dcterms:W3CDTF">2018-11-08T03:48:00Z</dcterms:modified>
</cp:coreProperties>
</file>