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-135" windowWidth="18945" windowHeight="12645" tabRatio="885"/>
  </bookViews>
  <sheets>
    <sheet name="Исходные данные" sheetId="1" r:id="rId1"/>
    <sheet name="Труматик гермики" sheetId="2" r:id="rId2"/>
    <sheet name="Ножницы стенка" sheetId="3" state="hidden" r:id="rId3"/>
    <sheet name="Ножницы кожух" sheetId="9" state="hidden" r:id="rId4"/>
    <sheet name="Задание Ножницы лента" sheetId="10" r:id="rId5"/>
    <sheet name="Ножницы упор" sheetId="7" r:id="rId6"/>
    <sheet name="Задание на гибку" sheetId="14" r:id="rId7"/>
    <sheet name="Задание на резку" sheetId="16" r:id="rId8"/>
    <sheet name="Задание на Trumpf" sheetId="13" r:id="rId9"/>
    <sheet name="Комплектовочный лист" sheetId="12" r:id="rId10"/>
    <sheet name="Программист" sheetId="17" state="hidden" r:id="rId11"/>
    <sheet name="Справочные" sheetId="18" r:id="rId12"/>
    <sheet name="reg_table" sheetId="11" r:id="rId13"/>
  </sheets>
  <definedNames>
    <definedName name="_xlnm.Print_Area" localSheetId="8">'Задание на Trumpf'!$A$4:$AD$46</definedName>
    <definedName name="_xlnm.Print_Area" localSheetId="6">'Задание на гибку'!$D$1:$AG$40</definedName>
    <definedName name="_xlnm.Print_Area" localSheetId="7">'Задание на резку'!$A$1:$M$40</definedName>
    <definedName name="_xlnm.Print_Area" localSheetId="4">'Задание Ножницы лента'!$C$3:$Z$35</definedName>
    <definedName name="_xlnm.Print_Area" localSheetId="9">'Комплектовочный лист'!$F$4:$AJ$47</definedName>
    <definedName name="_xlnm.Print_Area" localSheetId="3">'Ножницы кожух'!$A$2:$K$43</definedName>
    <definedName name="_xlnm.Print_Area" localSheetId="2">'Ножницы стенка'!$A$2:$H$47</definedName>
    <definedName name="_xlnm.Print_Area" localSheetId="5">'Ножницы упор'!$A$4:$J$39</definedName>
    <definedName name="_xlnm.Print_Area" localSheetId="1">'Труматик гермики'!$A$2:$J$47</definedName>
    <definedName name="Трудоемкость_от_гибов">'Ножницы кожух'!$U$5:$AG$9</definedName>
  </definedNames>
  <calcPr calcId="124519" refMode="R1C1"/>
</workbook>
</file>

<file path=xl/calcChain.xml><?xml version="1.0" encoding="utf-8"?>
<calcChain xmlns="http://schemas.openxmlformats.org/spreadsheetml/2006/main">
  <c r="U15" i="10"/>
  <c r="U16"/>
  <c r="U17"/>
  <c r="U18"/>
  <c r="U19"/>
  <c r="U20"/>
  <c r="U21"/>
  <c r="U22"/>
  <c r="U23"/>
  <c r="U24"/>
  <c r="U25"/>
  <c r="U26"/>
  <c r="U27"/>
  <c r="U28"/>
  <c r="U29"/>
  <c r="T15"/>
  <c r="BA15" s="1"/>
  <c r="T16"/>
  <c r="BA16" s="1"/>
  <c r="T17"/>
  <c r="BA17" s="1"/>
  <c r="T18"/>
  <c r="BA18" s="1"/>
  <c r="T19"/>
  <c r="BA19" s="1"/>
  <c r="T20"/>
  <c r="BA20" s="1"/>
  <c r="T21"/>
  <c r="BA21" s="1"/>
  <c r="T22"/>
  <c r="BA22" s="1"/>
  <c r="T23"/>
  <c r="BA23" s="1"/>
  <c r="T24"/>
  <c r="BA24" s="1"/>
  <c r="T25"/>
  <c r="BA25" s="1"/>
  <c r="T26"/>
  <c r="BA26" s="1"/>
  <c r="T27"/>
  <c r="BA27" s="1"/>
  <c r="T28"/>
  <c r="BA28" s="1"/>
  <c r="T29"/>
  <c r="BA29" s="1"/>
  <c r="AJ10"/>
  <c r="AK10" s="1"/>
  <c r="AJ11"/>
  <c r="AK11" s="1"/>
  <c r="AJ12"/>
  <c r="AK12" s="1"/>
  <c r="AJ13"/>
  <c r="AK13" s="1"/>
  <c r="AJ14"/>
  <c r="AK14" s="1"/>
  <c r="AJ15"/>
  <c r="AK15" s="1"/>
  <c r="AJ16"/>
  <c r="AK16" s="1"/>
  <c r="AJ17"/>
  <c r="AK17" s="1"/>
  <c r="AJ18"/>
  <c r="AK18" s="1"/>
  <c r="AJ19"/>
  <c r="AK19" s="1"/>
  <c r="AJ20"/>
  <c r="AK20" s="1"/>
  <c r="AJ21"/>
  <c r="AK21" s="1"/>
  <c r="AJ22"/>
  <c r="AK22" s="1"/>
  <c r="AJ23"/>
  <c r="AK23" s="1"/>
  <c r="AJ24"/>
  <c r="AK24" s="1"/>
  <c r="AJ25"/>
  <c r="AK25" s="1"/>
  <c r="AJ26"/>
  <c r="AK26" s="1"/>
  <c r="AJ27"/>
  <c r="AK27" s="1"/>
  <c r="AJ28"/>
  <c r="AK28" s="1"/>
  <c r="AJ29"/>
  <c r="AK29" s="1"/>
  <c r="AJ9"/>
  <c r="AK9" s="1"/>
  <c r="O9" i="14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T14"/>
  <c r="W14"/>
  <c r="O15"/>
  <c r="P15"/>
  <c r="Q15"/>
  <c r="R15"/>
  <c r="S15"/>
  <c r="T15"/>
  <c r="W15"/>
  <c r="O16"/>
  <c r="P16"/>
  <c r="Q16"/>
  <c r="R16"/>
  <c r="S16"/>
  <c r="T16"/>
  <c r="W16"/>
  <c r="O17"/>
  <c r="P17"/>
  <c r="Q17"/>
  <c r="R17"/>
  <c r="S17"/>
  <c r="T17"/>
  <c r="W17"/>
  <c r="O18"/>
  <c r="P18"/>
  <c r="Q18"/>
  <c r="R18"/>
  <c r="S18"/>
  <c r="T18"/>
  <c r="W18"/>
  <c r="O19"/>
  <c r="P19"/>
  <c r="Q19"/>
  <c r="R19"/>
  <c r="S19"/>
  <c r="T19"/>
  <c r="W19"/>
  <c r="O20"/>
  <c r="P20"/>
  <c r="Q20"/>
  <c r="R20"/>
  <c r="S20"/>
  <c r="T20"/>
  <c r="W20"/>
  <c r="O21"/>
  <c r="P21"/>
  <c r="Q21"/>
  <c r="R21"/>
  <c r="S21"/>
  <c r="T21"/>
  <c r="W21"/>
  <c r="O22"/>
  <c r="P22"/>
  <c r="Q22"/>
  <c r="R22"/>
  <c r="S22"/>
  <c r="T22"/>
  <c r="W22"/>
  <c r="O23"/>
  <c r="P23"/>
  <c r="Q23"/>
  <c r="R23"/>
  <c r="S23"/>
  <c r="T23"/>
  <c r="W23"/>
  <c r="O24"/>
  <c r="P24"/>
  <c r="Q24"/>
  <c r="R24"/>
  <c r="S24"/>
  <c r="T24"/>
  <c r="W24"/>
  <c r="O25"/>
  <c r="P25"/>
  <c r="Q25"/>
  <c r="R25"/>
  <c r="S25"/>
  <c r="T25"/>
  <c r="W25"/>
  <c r="O26"/>
  <c r="P26"/>
  <c r="Q26"/>
  <c r="R26"/>
  <c r="S26"/>
  <c r="T26"/>
  <c r="W26"/>
  <c r="O27"/>
  <c r="P27"/>
  <c r="Q27"/>
  <c r="R27"/>
  <c r="S27"/>
  <c r="T27"/>
  <c r="W27"/>
  <c r="O28"/>
  <c r="P28"/>
  <c r="Q28"/>
  <c r="R28"/>
  <c r="S28"/>
  <c r="T28"/>
  <c r="W28"/>
  <c r="M8" i="13"/>
  <c r="O8"/>
  <c r="R8"/>
  <c r="M9"/>
  <c r="O9"/>
  <c r="R9"/>
  <c r="M10"/>
  <c r="O10"/>
  <c r="R10"/>
  <c r="M11"/>
  <c r="O11"/>
  <c r="R11"/>
  <c r="M12"/>
  <c r="O12"/>
  <c r="P12"/>
  <c r="R12"/>
  <c r="L13"/>
  <c r="M13"/>
  <c r="N13"/>
  <c r="O13"/>
  <c r="P13"/>
  <c r="Q13"/>
  <c r="R13"/>
  <c r="S13"/>
  <c r="T13" s="1"/>
  <c r="U13"/>
  <c r="V13"/>
  <c r="W13"/>
  <c r="X13"/>
  <c r="Y13"/>
  <c r="Z13"/>
  <c r="AA13"/>
  <c r="AB13"/>
  <c r="L14"/>
  <c r="M14"/>
  <c r="N14"/>
  <c r="O14"/>
  <c r="P14"/>
  <c r="Q14"/>
  <c r="R14"/>
  <c r="S14"/>
  <c r="T14" s="1"/>
  <c r="U14"/>
  <c r="W14"/>
  <c r="X14"/>
  <c r="Y14"/>
  <c r="Z14"/>
  <c r="AA14"/>
  <c r="AB14"/>
  <c r="L15"/>
  <c r="M15"/>
  <c r="N15"/>
  <c r="O15"/>
  <c r="P15"/>
  <c r="Q15"/>
  <c r="R15"/>
  <c r="S15"/>
  <c r="T15" s="1"/>
  <c r="U15"/>
  <c r="W15"/>
  <c r="X15"/>
  <c r="Y15"/>
  <c r="Z15"/>
  <c r="AA15"/>
  <c r="AB15"/>
  <c r="L16"/>
  <c r="M16"/>
  <c r="N16"/>
  <c r="O16"/>
  <c r="P16"/>
  <c r="Q16"/>
  <c r="R16"/>
  <c r="S16"/>
  <c r="T16"/>
  <c r="U16"/>
  <c r="V16"/>
  <c r="W16"/>
  <c r="X16"/>
  <c r="Y16"/>
  <c r="Z16"/>
  <c r="AA16"/>
  <c r="AB16"/>
  <c r="L17"/>
  <c r="M17"/>
  <c r="N17"/>
  <c r="O17"/>
  <c r="P17"/>
  <c r="Q17"/>
  <c r="R17"/>
  <c r="S17"/>
  <c r="T17"/>
  <c r="U17"/>
  <c r="V17"/>
  <c r="W17"/>
  <c r="X17"/>
  <c r="Y17"/>
  <c r="Z17"/>
  <c r="AA17"/>
  <c r="AB17"/>
  <c r="L18"/>
  <c r="M18"/>
  <c r="N18"/>
  <c r="O18"/>
  <c r="P18"/>
  <c r="Q18"/>
  <c r="R18"/>
  <c r="S18"/>
  <c r="T18"/>
  <c r="U18"/>
  <c r="V18"/>
  <c r="W18"/>
  <c r="X18"/>
  <c r="Y18"/>
  <c r="Z18"/>
  <c r="AA18"/>
  <c r="AB18"/>
  <c r="L19"/>
  <c r="M19"/>
  <c r="N19"/>
  <c r="O19"/>
  <c r="P19"/>
  <c r="Q19"/>
  <c r="R19"/>
  <c r="S19"/>
  <c r="T19"/>
  <c r="U19"/>
  <c r="V19"/>
  <c r="W19"/>
  <c r="X19"/>
  <c r="Y19"/>
  <c r="Z19"/>
  <c r="AA19"/>
  <c r="AB19"/>
  <c r="L20"/>
  <c r="M20"/>
  <c r="N20"/>
  <c r="O20"/>
  <c r="P20"/>
  <c r="Q20"/>
  <c r="R20"/>
  <c r="S20"/>
  <c r="T20"/>
  <c r="U20"/>
  <c r="V20"/>
  <c r="W20"/>
  <c r="X20"/>
  <c r="Y20"/>
  <c r="Z20"/>
  <c r="AA20"/>
  <c r="AB20"/>
  <c r="L21"/>
  <c r="M21"/>
  <c r="N21"/>
  <c r="O21"/>
  <c r="P21"/>
  <c r="Q21"/>
  <c r="R21"/>
  <c r="S21"/>
  <c r="T21"/>
  <c r="U21"/>
  <c r="V21"/>
  <c r="W21"/>
  <c r="X21"/>
  <c r="Y21"/>
  <c r="Z21"/>
  <c r="AA21"/>
  <c r="AB21"/>
  <c r="L22"/>
  <c r="M22"/>
  <c r="N22"/>
  <c r="O22"/>
  <c r="P22"/>
  <c r="Q22"/>
  <c r="R22"/>
  <c r="S22"/>
  <c r="T22"/>
  <c r="U22"/>
  <c r="V22"/>
  <c r="W22"/>
  <c r="X22"/>
  <c r="Y22"/>
  <c r="Z22"/>
  <c r="AA22"/>
  <c r="AB22"/>
  <c r="L23"/>
  <c r="M23"/>
  <c r="N23"/>
  <c r="O23"/>
  <c r="P23"/>
  <c r="Q23"/>
  <c r="R23"/>
  <c r="S23"/>
  <c r="T23"/>
  <c r="U23"/>
  <c r="V23"/>
  <c r="W23"/>
  <c r="X23"/>
  <c r="Y23"/>
  <c r="Z23"/>
  <c r="AA23"/>
  <c r="AB23"/>
  <c r="L24"/>
  <c r="M24"/>
  <c r="N24"/>
  <c r="O24"/>
  <c r="P24"/>
  <c r="Q24"/>
  <c r="R24"/>
  <c r="S24"/>
  <c r="T24"/>
  <c r="U24"/>
  <c r="V24"/>
  <c r="W24"/>
  <c r="X24"/>
  <c r="Y24"/>
  <c r="Z24"/>
  <c r="AA24"/>
  <c r="AB24"/>
  <c r="L25"/>
  <c r="M25"/>
  <c r="N25"/>
  <c r="O25"/>
  <c r="P25"/>
  <c r="Q25"/>
  <c r="R25"/>
  <c r="S25"/>
  <c r="T25"/>
  <c r="U25"/>
  <c r="V25"/>
  <c r="W25"/>
  <c r="X25"/>
  <c r="Y25"/>
  <c r="Z25"/>
  <c r="AA25"/>
  <c r="AB25"/>
  <c r="L26"/>
  <c r="M26"/>
  <c r="N26"/>
  <c r="O26"/>
  <c r="P26"/>
  <c r="Q26"/>
  <c r="R26"/>
  <c r="S26"/>
  <c r="T26"/>
  <c r="U26"/>
  <c r="V26"/>
  <c r="W26"/>
  <c r="X26"/>
  <c r="Y26"/>
  <c r="Z26"/>
  <c r="AA26"/>
  <c r="AB26"/>
  <c r="L27"/>
  <c r="M27"/>
  <c r="N27"/>
  <c r="O27"/>
  <c r="P27"/>
  <c r="Q27"/>
  <c r="R27"/>
  <c r="S27"/>
  <c r="T27"/>
  <c r="U27"/>
  <c r="V27"/>
  <c r="W27"/>
  <c r="X27"/>
  <c r="Y27"/>
  <c r="Z27"/>
  <c r="AA27"/>
  <c r="AB27"/>
  <c r="AD15" i="14"/>
  <c r="AD16"/>
  <c r="AD17"/>
  <c r="AD18"/>
  <c r="AD19"/>
  <c r="AD20"/>
  <c r="AD21"/>
  <c r="AD22"/>
  <c r="AD23"/>
  <c r="AD24"/>
  <c r="AD25"/>
  <c r="AD26"/>
  <c r="AD27"/>
  <c r="AD28"/>
  <c r="AI9" i="10" l="1"/>
  <c r="AI28"/>
  <c r="AI26"/>
  <c r="AI24"/>
  <c r="AI22"/>
  <c r="AI20"/>
  <c r="AI18"/>
  <c r="AI16"/>
  <c r="AI14"/>
  <c r="AI12"/>
  <c r="AI10"/>
  <c r="AI29"/>
  <c r="AI27"/>
  <c r="AI25"/>
  <c r="AI23"/>
  <c r="AI21"/>
  <c r="AI19"/>
  <c r="AI17"/>
  <c r="AI15"/>
  <c r="AI13"/>
  <c r="AI11"/>
  <c r="V15" i="13"/>
  <c r="V14"/>
  <c r="I13" i="7"/>
  <c r="I14"/>
  <c r="I15"/>
  <c r="I16"/>
  <c r="I17"/>
  <c r="I18"/>
  <c r="I19"/>
  <c r="I20"/>
  <c r="I21"/>
  <c r="I22"/>
  <c r="I23"/>
  <c r="I24"/>
  <c r="I25"/>
  <c r="I26"/>
  <c r="I27"/>
  <c r="AF14" i="14"/>
  <c r="AA15"/>
  <c r="AF16"/>
  <c r="AA17"/>
  <c r="AF18"/>
  <c r="AA19"/>
  <c r="AF20"/>
  <c r="AA21"/>
  <c r="AF22"/>
  <c r="AA23"/>
  <c r="AF24"/>
  <c r="AA25"/>
  <c r="AF26"/>
  <c r="AA27"/>
  <c r="AF28"/>
  <c r="AE14"/>
  <c r="AG14" s="1"/>
  <c r="AE15"/>
  <c r="AG15" s="1"/>
  <c r="AE16"/>
  <c r="AG16" s="1"/>
  <c r="AE17"/>
  <c r="AG17" s="1"/>
  <c r="AE18"/>
  <c r="AG18" s="1"/>
  <c r="AE19"/>
  <c r="AG19" s="1"/>
  <c r="AE20"/>
  <c r="AG20" s="1"/>
  <c r="AE21"/>
  <c r="AG21" s="1"/>
  <c r="AE22"/>
  <c r="AG22" s="1"/>
  <c r="AE23"/>
  <c r="AG23" s="1"/>
  <c r="AE24"/>
  <c r="AG24" s="1"/>
  <c r="AE25"/>
  <c r="AG25" s="1"/>
  <c r="AE26"/>
  <c r="AG26" s="1"/>
  <c r="AE27"/>
  <c r="AG27" s="1"/>
  <c r="AE28"/>
  <c r="AG28" s="1"/>
  <c r="S15" i="10"/>
  <c r="BB15" s="1"/>
  <c r="BC15" s="1"/>
  <c r="BD15" s="1"/>
  <c r="S16"/>
  <c r="BB16" s="1"/>
  <c r="BC16" s="1"/>
  <c r="BD16" s="1"/>
  <c r="S17"/>
  <c r="BB17" s="1"/>
  <c r="BC17" s="1"/>
  <c r="BD17" s="1"/>
  <c r="S18"/>
  <c r="BB18" s="1"/>
  <c r="BC18" s="1"/>
  <c r="BD18" s="1"/>
  <c r="S19"/>
  <c r="BB19" s="1"/>
  <c r="BC19" s="1"/>
  <c r="BD19" s="1"/>
  <c r="S20"/>
  <c r="BB20" s="1"/>
  <c r="BC20" s="1"/>
  <c r="BD20" s="1"/>
  <c r="S21"/>
  <c r="BB21" s="1"/>
  <c r="BC21" s="1"/>
  <c r="BD21" s="1"/>
  <c r="S22"/>
  <c r="BB22" s="1"/>
  <c r="BC22" s="1"/>
  <c r="BD22" s="1"/>
  <c r="S23"/>
  <c r="BB23" s="1"/>
  <c r="BC23" s="1"/>
  <c r="BD23" s="1"/>
  <c r="S24"/>
  <c r="BB24" s="1"/>
  <c r="BC24" s="1"/>
  <c r="BD24" s="1"/>
  <c r="S25"/>
  <c r="BB25" s="1"/>
  <c r="BC25" s="1"/>
  <c r="BD25" s="1"/>
  <c r="S26"/>
  <c r="BB26" s="1"/>
  <c r="BC26" s="1"/>
  <c r="BD26" s="1"/>
  <c r="S27"/>
  <c r="BB27" s="1"/>
  <c r="BC27" s="1"/>
  <c r="BD27" s="1"/>
  <c r="S28"/>
  <c r="BB28" s="1"/>
  <c r="BC28" s="1"/>
  <c r="BD28" s="1"/>
  <c r="S29"/>
  <c r="BB29" s="1"/>
  <c r="BC29" s="1"/>
  <c r="BD29" s="1"/>
  <c r="F14" i="7"/>
  <c r="F15"/>
  <c r="F16"/>
  <c r="F17"/>
  <c r="F18"/>
  <c r="F19"/>
  <c r="F20"/>
  <c r="F21"/>
  <c r="F22"/>
  <c r="F23"/>
  <c r="F24"/>
  <c r="F25"/>
  <c r="F26"/>
  <c r="F27"/>
  <c r="R15" i="10"/>
  <c r="R16"/>
  <c r="R17"/>
  <c r="R18"/>
  <c r="R19"/>
  <c r="R20"/>
  <c r="R21"/>
  <c r="R22"/>
  <c r="R23"/>
  <c r="R24"/>
  <c r="R25"/>
  <c r="R26"/>
  <c r="R27"/>
  <c r="R28"/>
  <c r="R29"/>
  <c r="O15"/>
  <c r="O16"/>
  <c r="O17"/>
  <c r="O18"/>
  <c r="O19"/>
  <c r="O20"/>
  <c r="O21"/>
  <c r="O22"/>
  <c r="O23"/>
  <c r="O24"/>
  <c r="O25"/>
  <c r="O26"/>
  <c r="O27"/>
  <c r="O28"/>
  <c r="O29"/>
  <c r="Q15"/>
  <c r="Q16"/>
  <c r="Q17"/>
  <c r="Q18"/>
  <c r="Q19"/>
  <c r="Q20"/>
  <c r="Q21"/>
  <c r="Q22"/>
  <c r="Q23"/>
  <c r="Q24"/>
  <c r="Q25"/>
  <c r="Q26"/>
  <c r="Q27"/>
  <c r="Q28"/>
  <c r="Q29"/>
  <c r="J13" i="2"/>
  <c r="J14"/>
  <c r="J15"/>
  <c r="J16"/>
  <c r="J17"/>
  <c r="J18"/>
  <c r="J19"/>
  <c r="J20"/>
  <c r="J21"/>
  <c r="J22"/>
  <c r="J23"/>
  <c r="J24"/>
  <c r="J25"/>
  <c r="J26"/>
  <c r="J27"/>
  <c r="O18"/>
  <c r="Q14"/>
  <c r="Q15"/>
  <c r="Q16"/>
  <c r="Q17"/>
  <c r="Q18"/>
  <c r="Q19"/>
  <c r="Q20"/>
  <c r="Q21"/>
  <c r="Q22"/>
  <c r="Q23"/>
  <c r="Q24"/>
  <c r="Q25"/>
  <c r="Q26"/>
  <c r="Q27"/>
  <c r="P14"/>
  <c r="S14" i="7" s="1"/>
  <c r="T14" s="1"/>
  <c r="P15" i="2"/>
  <c r="S15" i="7" s="1"/>
  <c r="T15" s="1"/>
  <c r="P16" i="2"/>
  <c r="S16" i="7" s="1"/>
  <c r="T16" s="1"/>
  <c r="P17" i="2"/>
  <c r="S17" i="7" s="1"/>
  <c r="T17" s="1"/>
  <c r="P18" i="2"/>
  <c r="S18" i="7" s="1"/>
  <c r="T18" s="1"/>
  <c r="P19" i="2"/>
  <c r="S19" i="7" s="1"/>
  <c r="T19" s="1"/>
  <c r="P20" i="2"/>
  <c r="S20" i="7" s="1"/>
  <c r="T20" s="1"/>
  <c r="P21" i="2"/>
  <c r="S21" i="7" s="1"/>
  <c r="T21" s="1"/>
  <c r="P22" i="2"/>
  <c r="S22" i="7" s="1"/>
  <c r="T22" s="1"/>
  <c r="P23" i="2"/>
  <c r="S23" i="7" s="1"/>
  <c r="T23" s="1"/>
  <c r="P24" i="2"/>
  <c r="S24" i="7" s="1"/>
  <c r="T24" s="1"/>
  <c r="P25" i="2"/>
  <c r="S25" i="7" s="1"/>
  <c r="T25" s="1"/>
  <c r="P26" i="2"/>
  <c r="S26" i="7" s="1"/>
  <c r="T26" s="1"/>
  <c r="P27" i="2"/>
  <c r="S27" i="7" s="1"/>
  <c r="T27" s="1"/>
  <c r="I16" i="10"/>
  <c r="I17"/>
  <c r="I18"/>
  <c r="I19"/>
  <c r="I20"/>
  <c r="I21"/>
  <c r="I22"/>
  <c r="I23"/>
  <c r="I24"/>
  <c r="I25"/>
  <c r="I26"/>
  <c r="I27"/>
  <c r="I28"/>
  <c r="I2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P13" i="1"/>
  <c r="P14"/>
  <c r="P15"/>
  <c r="P16"/>
  <c r="P17"/>
  <c r="P18"/>
  <c r="P19"/>
  <c r="P20"/>
  <c r="P21"/>
  <c r="P22"/>
  <c r="P23"/>
  <c r="P24"/>
  <c r="P25"/>
  <c r="P26"/>
  <c r="O12"/>
  <c r="O13"/>
  <c r="O14"/>
  <c r="O15"/>
  <c r="O16"/>
  <c r="O17"/>
  <c r="O18"/>
  <c r="O19"/>
  <c r="O20"/>
  <c r="O21"/>
  <c r="O22"/>
  <c r="O23"/>
  <c r="O24"/>
  <c r="O25"/>
  <c r="O26"/>
  <c r="V27" i="7" l="1"/>
  <c r="W27" s="1"/>
  <c r="U28" i="14"/>
  <c r="V28" s="1"/>
  <c r="V25" i="7"/>
  <c r="W25" s="1"/>
  <c r="U26" i="14"/>
  <c r="V26" s="1"/>
  <c r="V23" i="7"/>
  <c r="W23" s="1"/>
  <c r="U24" i="14"/>
  <c r="V24" s="1"/>
  <c r="V21" i="7"/>
  <c r="W21" s="1"/>
  <c r="U22" i="14"/>
  <c r="V22" s="1"/>
  <c r="V19" i="7"/>
  <c r="W19" s="1"/>
  <c r="U20" i="14"/>
  <c r="V20" s="1"/>
  <c r="V17" i="7"/>
  <c r="W17" s="1"/>
  <c r="U18" i="14"/>
  <c r="V18" s="1"/>
  <c r="V15" i="7"/>
  <c r="W15" s="1"/>
  <c r="U16" i="14"/>
  <c r="V16" s="1"/>
  <c r="V26" i="7"/>
  <c r="W26" s="1"/>
  <c r="U27" i="14"/>
  <c r="V27" s="1"/>
  <c r="V24" i="7"/>
  <c r="W24" s="1"/>
  <c r="U25" i="14"/>
  <c r="V25" s="1"/>
  <c r="V22" i="7"/>
  <c r="W22" s="1"/>
  <c r="U23" i="14"/>
  <c r="V23" s="1"/>
  <c r="V20" i="7"/>
  <c r="W20" s="1"/>
  <c r="U21" i="14"/>
  <c r="V21" s="1"/>
  <c r="V18" i="7"/>
  <c r="W18" s="1"/>
  <c r="U19" i="14"/>
  <c r="V19" s="1"/>
  <c r="V16" i="7"/>
  <c r="W16" s="1"/>
  <c r="U17" i="14"/>
  <c r="V17" s="1"/>
  <c r="V14" i="7"/>
  <c r="W14" s="1"/>
  <c r="U15" i="14"/>
  <c r="V15" s="1"/>
  <c r="AR28" i="10"/>
  <c r="AQ28"/>
  <c r="AQ29"/>
  <c r="AR29"/>
  <c r="AQ27"/>
  <c r="AR27"/>
  <c r="AQ25"/>
  <c r="AR25"/>
  <c r="AQ23"/>
  <c r="AR23"/>
  <c r="AQ21"/>
  <c r="AR21"/>
  <c r="AQ19"/>
  <c r="AR19"/>
  <c r="AQ17"/>
  <c r="AR17"/>
  <c r="AR26"/>
  <c r="AQ26"/>
  <c r="AR24"/>
  <c r="AQ24"/>
  <c r="AR22"/>
  <c r="AQ22"/>
  <c r="AR20"/>
  <c r="AQ20"/>
  <c r="AR18"/>
  <c r="AQ18"/>
  <c r="AR16"/>
  <c r="AQ16"/>
  <c r="AN29"/>
  <c r="AO29"/>
  <c r="AN27"/>
  <c r="AO27"/>
  <c r="AN25"/>
  <c r="AO25"/>
  <c r="AN23"/>
  <c r="AO23"/>
  <c r="AN21"/>
  <c r="AO21"/>
  <c r="AN19"/>
  <c r="AO19"/>
  <c r="AN17"/>
  <c r="AO17"/>
  <c r="V29"/>
  <c r="AP29"/>
  <c r="V27"/>
  <c r="AP27"/>
  <c r="V25"/>
  <c r="AP25"/>
  <c r="V23"/>
  <c r="AP23"/>
  <c r="V21"/>
  <c r="AP21"/>
  <c r="V19"/>
  <c r="AP19"/>
  <c r="V17"/>
  <c r="AP17"/>
  <c r="V15"/>
  <c r="AP15"/>
  <c r="AN28"/>
  <c r="AO28"/>
  <c r="AN26"/>
  <c r="AO26"/>
  <c r="AN24"/>
  <c r="AO24"/>
  <c r="AN22"/>
  <c r="AO22"/>
  <c r="AN20"/>
  <c r="AO20"/>
  <c r="AN18"/>
  <c r="AO18"/>
  <c r="AN16"/>
  <c r="AO16"/>
  <c r="V28"/>
  <c r="AP28"/>
  <c r="V26"/>
  <c r="AP26"/>
  <c r="V24"/>
  <c r="AP24"/>
  <c r="V22"/>
  <c r="AP22"/>
  <c r="V20"/>
  <c r="AP20"/>
  <c r="V18"/>
  <c r="AP18"/>
  <c r="V16"/>
  <c r="AP16"/>
  <c r="L29"/>
  <c r="AM29"/>
  <c r="L27"/>
  <c r="AM27"/>
  <c r="L25"/>
  <c r="AM25"/>
  <c r="L23"/>
  <c r="AM23"/>
  <c r="L21"/>
  <c r="AM21"/>
  <c r="L19"/>
  <c r="AM19"/>
  <c r="L17"/>
  <c r="AM17"/>
  <c r="L28"/>
  <c r="AM28"/>
  <c r="L26"/>
  <c r="AM26"/>
  <c r="L24"/>
  <c r="AM24"/>
  <c r="L22"/>
  <c r="AM22"/>
  <c r="L20"/>
  <c r="AM20"/>
  <c r="L18"/>
  <c r="AM18"/>
  <c r="L16"/>
  <c r="AM16"/>
  <c r="AA28" i="14"/>
  <c r="AA26"/>
  <c r="AA24"/>
  <c r="AA22"/>
  <c r="AA20"/>
  <c r="AA18"/>
  <c r="AA16"/>
  <c r="AA14"/>
  <c r="AH27"/>
  <c r="AH25"/>
  <c r="AH23"/>
  <c r="AH21"/>
  <c r="AH19"/>
  <c r="AH17"/>
  <c r="AH15"/>
  <c r="AF27"/>
  <c r="AF25"/>
  <c r="AF23"/>
  <c r="AF21"/>
  <c r="AF19"/>
  <c r="AF17"/>
  <c r="AF15"/>
  <c r="AH28"/>
  <c r="AH26"/>
  <c r="AH24"/>
  <c r="AH22"/>
  <c r="AH20"/>
  <c r="AH18"/>
  <c r="AH16"/>
  <c r="AH14"/>
  <c r="N4" i="12"/>
  <c r="AU11" i="14" l="1"/>
  <c r="AU10"/>
  <c r="AU9"/>
  <c r="AU8"/>
  <c r="AI9"/>
  <c r="BP9" s="1"/>
  <c r="AI10"/>
  <c r="BP10" s="1"/>
  <c r="AI11"/>
  <c r="BP11" s="1"/>
  <c r="AI12"/>
  <c r="BP12" s="1"/>
  <c r="AI13"/>
  <c r="BP13" s="1"/>
  <c r="AI14"/>
  <c r="BP14" s="1"/>
  <c r="AI15"/>
  <c r="BP15" s="1"/>
  <c r="AI16"/>
  <c r="BP16" s="1"/>
  <c r="AI17"/>
  <c r="BP17" s="1"/>
  <c r="AI18"/>
  <c r="BP18" s="1"/>
  <c r="AI19"/>
  <c r="BP19" s="1"/>
  <c r="AI20"/>
  <c r="BP20" s="1"/>
  <c r="AI21"/>
  <c r="BP21" s="1"/>
  <c r="AI22"/>
  <c r="BP22" s="1"/>
  <c r="AI23"/>
  <c r="BP23" s="1"/>
  <c r="AI24"/>
  <c r="BP24" s="1"/>
  <c r="AI25"/>
  <c r="BP25" s="1"/>
  <c r="AI26"/>
  <c r="BP26" s="1"/>
  <c r="AI27"/>
  <c r="BP27" s="1"/>
  <c r="AI28"/>
  <c r="BP28" s="1"/>
  <c r="AI8"/>
  <c r="BP8" s="1"/>
  <c r="AA8" i="2" l="1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Z8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AA7"/>
  <c r="Z7"/>
  <c r="Y12"/>
  <c r="Y13"/>
  <c r="Y14"/>
  <c r="Y15"/>
  <c r="Y16"/>
  <c r="Y17"/>
  <c r="Y18"/>
  <c r="Y19"/>
  <c r="Y20"/>
  <c r="Y21"/>
  <c r="Y22"/>
  <c r="Y23"/>
  <c r="Y24"/>
  <c r="Y25"/>
  <c r="Y26"/>
  <c r="Y27"/>
  <c r="X7"/>
  <c r="W7"/>
  <c r="R8" i="14"/>
  <c r="P8"/>
  <c r="AE27" i="1"/>
  <c r="Y11" i="2" l="1"/>
  <c r="Y9"/>
  <c r="AB8"/>
  <c r="AB7"/>
  <c r="Y7"/>
  <c r="Y10"/>
  <c r="Y8"/>
  <c r="F8" i="16"/>
  <c r="AU12" i="14"/>
  <c r="AU13"/>
  <c r="L7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6"/>
  <c r="U9" i="10" l="1"/>
  <c r="T9"/>
  <c r="BA9" s="1"/>
  <c r="Y12" i="13"/>
  <c r="U14" i="10"/>
  <c r="T14"/>
  <c r="BA14" s="1"/>
  <c r="W13" i="14"/>
  <c r="Z12" i="13"/>
  <c r="AB12"/>
  <c r="U12" i="10"/>
  <c r="T12"/>
  <c r="BA12" s="1"/>
  <c r="U10"/>
  <c r="T10"/>
  <c r="BA10" s="1"/>
  <c r="U13"/>
  <c r="T13"/>
  <c r="BA13" s="1"/>
  <c r="Y11" i="13"/>
  <c r="W12" i="14"/>
  <c r="Z11" i="13"/>
  <c r="AB11"/>
  <c r="U11" i="10"/>
  <c r="T11"/>
  <c r="BA11" s="1"/>
  <c r="I8" i="7"/>
  <c r="Y8" i="13"/>
  <c r="W9" i="14"/>
  <c r="Z8" i="13"/>
  <c r="AB8"/>
  <c r="I10" i="7"/>
  <c r="W11" i="14"/>
  <c r="Y10" i="13"/>
  <c r="Z10"/>
  <c r="AB10"/>
  <c r="Y9"/>
  <c r="W10" i="14"/>
  <c r="Z9" i="13"/>
  <c r="AB9"/>
  <c r="I7" i="7"/>
  <c r="S9" i="10"/>
  <c r="AB7" i="13"/>
  <c r="W8" i="14"/>
  <c r="I12" i="7"/>
  <c r="I11"/>
  <c r="S11" i="10"/>
  <c r="I9" i="7"/>
  <c r="J8" i="2"/>
  <c r="S10" i="10"/>
  <c r="O7" i="1"/>
  <c r="S12" i="10"/>
  <c r="O6" i="1"/>
  <c r="J11" i="2"/>
  <c r="O10" i="1"/>
  <c r="J12" i="2"/>
  <c r="O11" i="1"/>
  <c r="J10" i="2"/>
  <c r="O9" i="1"/>
  <c r="J9" i="2"/>
  <c r="O8" i="1"/>
  <c r="M6"/>
  <c r="AC6" s="1"/>
  <c r="G8" i="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7"/>
  <c r="AA27" i="1"/>
  <c r="AA28"/>
  <c r="A2" i="16"/>
  <c r="U30" i="10" l="1"/>
  <c r="Q12" i="13"/>
  <c r="X12"/>
  <c r="Y11" i="17"/>
  <c r="Q11" i="13"/>
  <c r="X11"/>
  <c r="AP11" i="10"/>
  <c r="BB11"/>
  <c r="BC11" s="1"/>
  <c r="BD11" s="1"/>
  <c r="AP12"/>
  <c r="BB12"/>
  <c r="BC12" s="1"/>
  <c r="BD12" s="1"/>
  <c r="AP10"/>
  <c r="BB10"/>
  <c r="BC10" s="1"/>
  <c r="BD10" s="1"/>
  <c r="AP9"/>
  <c r="BB9"/>
  <c r="BC9" s="1"/>
  <c r="BD9" s="1"/>
  <c r="V9"/>
  <c r="Q8" i="13"/>
  <c r="X8"/>
  <c r="Q9"/>
  <c r="X9"/>
  <c r="Q10"/>
  <c r="X10"/>
  <c r="V12" i="10"/>
  <c r="V10"/>
  <c r="AA7" i="13"/>
  <c r="AD8" i="14"/>
  <c r="AA9"/>
  <c r="AF9"/>
  <c r="AH9"/>
  <c r="AF12"/>
  <c r="AH12"/>
  <c r="AA12"/>
  <c r="AA8"/>
  <c r="AF8"/>
  <c r="AH8"/>
  <c r="AA11"/>
  <c r="AF11"/>
  <c r="AH11"/>
  <c r="AF10"/>
  <c r="AH10"/>
  <c r="AA10"/>
  <c r="AA13"/>
  <c r="AF13"/>
  <c r="AH13"/>
  <c r="I9" i="10"/>
  <c r="P6" i="1"/>
  <c r="BB8" i="14"/>
  <c r="BC8" s="1"/>
  <c r="BD8" s="1"/>
  <c r="S27" i="9"/>
  <c r="R27"/>
  <c r="S25"/>
  <c r="R25"/>
  <c r="S23"/>
  <c r="R23"/>
  <c r="S21"/>
  <c r="R21"/>
  <c r="S19"/>
  <c r="R19"/>
  <c r="S17"/>
  <c r="R17"/>
  <c r="S15"/>
  <c r="R15"/>
  <c r="S13"/>
  <c r="R13"/>
  <c r="S11"/>
  <c r="R11"/>
  <c r="S9"/>
  <c r="R9"/>
  <c r="S7"/>
  <c r="R7"/>
  <c r="S26"/>
  <c r="R26"/>
  <c r="S24"/>
  <c r="R24"/>
  <c r="S22"/>
  <c r="R22"/>
  <c r="S20"/>
  <c r="R20"/>
  <c r="S18"/>
  <c r="R18"/>
  <c r="S16"/>
  <c r="R16"/>
  <c r="S14"/>
  <c r="R14"/>
  <c r="S12"/>
  <c r="R12"/>
  <c r="S10"/>
  <c r="R10"/>
  <c r="S8"/>
  <c r="R8"/>
  <c r="AD27" i="17"/>
  <c r="R27"/>
  <c r="O27"/>
  <c r="M27"/>
  <c r="H27"/>
  <c r="G27"/>
  <c r="Z27" s="1"/>
  <c r="F27"/>
  <c r="AD26"/>
  <c r="R26"/>
  <c r="O26"/>
  <c r="M26"/>
  <c r="H26"/>
  <c r="G26"/>
  <c r="Z26" s="1"/>
  <c r="F26"/>
  <c r="AD25"/>
  <c r="R25"/>
  <c r="O25"/>
  <c r="M25"/>
  <c r="H25"/>
  <c r="G25"/>
  <c r="Z25" s="1"/>
  <c r="F25"/>
  <c r="AD24"/>
  <c r="R24"/>
  <c r="O24"/>
  <c r="M24"/>
  <c r="H24"/>
  <c r="G24"/>
  <c r="Z24" s="1"/>
  <c r="F24"/>
  <c r="AD23"/>
  <c r="R23"/>
  <c r="O23"/>
  <c r="M23"/>
  <c r="H23"/>
  <c r="G23"/>
  <c r="Z23" s="1"/>
  <c r="F23"/>
  <c r="AD22"/>
  <c r="R22"/>
  <c r="O22"/>
  <c r="M22"/>
  <c r="H22"/>
  <c r="G22"/>
  <c r="Z22" s="1"/>
  <c r="F22"/>
  <c r="AD21"/>
  <c r="R21"/>
  <c r="O21"/>
  <c r="M21"/>
  <c r="H21"/>
  <c r="G21"/>
  <c r="Z21" s="1"/>
  <c r="F21"/>
  <c r="AD20"/>
  <c r="R20"/>
  <c r="O20"/>
  <c r="M20"/>
  <c r="H20"/>
  <c r="G20"/>
  <c r="Z20" s="1"/>
  <c r="F20"/>
  <c r="AD19"/>
  <c r="R19"/>
  <c r="O19"/>
  <c r="M19"/>
  <c r="H19"/>
  <c r="G19"/>
  <c r="Z19" s="1"/>
  <c r="F19"/>
  <c r="AD18"/>
  <c r="R18"/>
  <c r="O18"/>
  <c r="M18"/>
  <c r="H18"/>
  <c r="G18"/>
  <c r="Z18" s="1"/>
  <c r="F18"/>
  <c r="AD17"/>
  <c r="R17"/>
  <c r="O17"/>
  <c r="M17"/>
  <c r="H17"/>
  <c r="G17"/>
  <c r="Z17" s="1"/>
  <c r="F17"/>
  <c r="AD16"/>
  <c r="R16"/>
  <c r="O16"/>
  <c r="M16"/>
  <c r="H16"/>
  <c r="G16"/>
  <c r="Z16" s="1"/>
  <c r="F16"/>
  <c r="AD15"/>
  <c r="R15"/>
  <c r="O15"/>
  <c r="M15"/>
  <c r="H15"/>
  <c r="G15"/>
  <c r="Z15" s="1"/>
  <c r="F15"/>
  <c r="AD14"/>
  <c r="R14"/>
  <c r="O14"/>
  <c r="M14"/>
  <c r="H14"/>
  <c r="G14"/>
  <c r="Z14" s="1"/>
  <c r="F14"/>
  <c r="AD13"/>
  <c r="R13"/>
  <c r="O13"/>
  <c r="M13"/>
  <c r="H13"/>
  <c r="G13"/>
  <c r="Z13" s="1"/>
  <c r="F13"/>
  <c r="AD12"/>
  <c r="R12"/>
  <c r="O12"/>
  <c r="M12"/>
  <c r="H12"/>
  <c r="G12"/>
  <c r="Z12" s="1"/>
  <c r="F12"/>
  <c r="AD11"/>
  <c r="R11"/>
  <c r="Q11"/>
  <c r="O11"/>
  <c r="M11"/>
  <c r="H11"/>
  <c r="G11"/>
  <c r="Z11" s="1"/>
  <c r="F11"/>
  <c r="AD10"/>
  <c r="R10"/>
  <c r="O10"/>
  <c r="M10"/>
  <c r="H10"/>
  <c r="G10"/>
  <c r="Z10" s="1"/>
  <c r="F10"/>
  <c r="AD9"/>
  <c r="R9"/>
  <c r="O9"/>
  <c r="M9"/>
  <c r="H9"/>
  <c r="G9"/>
  <c r="Z9" s="1"/>
  <c r="F9"/>
  <c r="R8"/>
  <c r="O8"/>
  <c r="M8"/>
  <c r="H8"/>
  <c r="G8"/>
  <c r="Z8" s="1"/>
  <c r="F8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AD7"/>
  <c r="R7"/>
  <c r="O7"/>
  <c r="M7"/>
  <c r="H7"/>
  <c r="G7"/>
  <c r="S7" s="1"/>
  <c r="F7"/>
  <c r="AF5"/>
  <c r="B5"/>
  <c r="AM9" i="10" l="1"/>
  <c r="AN9" s="1"/>
  <c r="S13" i="17"/>
  <c r="S15"/>
  <c r="V15" s="1"/>
  <c r="S17"/>
  <c r="V17" s="1"/>
  <c r="S19"/>
  <c r="V19" s="1"/>
  <c r="S21"/>
  <c r="V21" s="1"/>
  <c r="S23"/>
  <c r="V23" s="1"/>
  <c r="S12"/>
  <c r="S14"/>
  <c r="V14" s="1"/>
  <c r="S16"/>
  <c r="V16" s="1"/>
  <c r="S18"/>
  <c r="V18" s="1"/>
  <c r="S20"/>
  <c r="V20" s="1"/>
  <c r="S22"/>
  <c r="V22" s="1"/>
  <c r="S24"/>
  <c r="V24" s="1"/>
  <c r="S11"/>
  <c r="S9"/>
  <c r="S10"/>
  <c r="T10" s="1"/>
  <c r="S8"/>
  <c r="S25"/>
  <c r="V25" s="1"/>
  <c r="S26"/>
  <c r="V26" s="1"/>
  <c r="S27"/>
  <c r="V27" s="1"/>
  <c r="Z7"/>
  <c r="U24"/>
  <c r="T7"/>
  <c r="T13"/>
  <c r="T21"/>
  <c r="O7" i="13"/>
  <c r="M11" i="10"/>
  <c r="M12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K12" i="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11"/>
  <c r="T16" i="17" l="1"/>
  <c r="U16"/>
  <c r="T25"/>
  <c r="T19"/>
  <c r="T15"/>
  <c r="U19"/>
  <c r="T26"/>
  <c r="T24"/>
  <c r="T20"/>
  <c r="T17"/>
  <c r="U21"/>
  <c r="U17"/>
  <c r="U26"/>
  <c r="U27"/>
  <c r="U23"/>
  <c r="T27"/>
  <c r="T23"/>
  <c r="T12"/>
  <c r="U25"/>
  <c r="U20"/>
  <c r="U15"/>
  <c r="U22"/>
  <c r="U18"/>
  <c r="U14"/>
  <c r="T22"/>
  <c r="T18"/>
  <c r="T14"/>
  <c r="T11"/>
  <c r="T9"/>
  <c r="T8"/>
  <c r="T15" i="12"/>
  <c r="V7" i="1"/>
  <c r="R10" i="10" s="1"/>
  <c r="V8" i="1"/>
  <c r="R11" i="10" s="1"/>
  <c r="V9" i="1"/>
  <c r="R12" i="10" s="1"/>
  <c r="V10" i="1"/>
  <c r="R13" i="10" s="1"/>
  <c r="V11" i="1"/>
  <c r="V12"/>
  <c r="V13"/>
  <c r="V14"/>
  <c r="V15"/>
  <c r="V16"/>
  <c r="V17"/>
  <c r="V18"/>
  <c r="V19"/>
  <c r="V20"/>
  <c r="V21"/>
  <c r="V22"/>
  <c r="V23"/>
  <c r="V24"/>
  <c r="V25"/>
  <c r="V26"/>
  <c r="V27"/>
  <c r="V6"/>
  <c r="R9" i="10" s="1"/>
  <c r="S8" i="14"/>
  <c r="R14" i="10" l="1"/>
  <c r="O14"/>
  <c r="Q14"/>
  <c r="Q12"/>
  <c r="O12"/>
  <c r="Q10"/>
  <c r="O10"/>
  <c r="Q9"/>
  <c r="O9"/>
  <c r="O13"/>
  <c r="O11"/>
  <c r="Q11"/>
  <c r="AQ12" i="14"/>
  <c r="AO12"/>
  <c r="J28" i="16"/>
  <c r="I28"/>
  <c r="H28"/>
  <c r="G28"/>
  <c r="F28"/>
  <c r="E28"/>
  <c r="J27"/>
  <c r="I27"/>
  <c r="H27"/>
  <c r="G27"/>
  <c r="F27"/>
  <c r="E27"/>
  <c r="J26"/>
  <c r="I26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J22"/>
  <c r="I22"/>
  <c r="H22"/>
  <c r="G22"/>
  <c r="F22"/>
  <c r="E22"/>
  <c r="J21"/>
  <c r="I21"/>
  <c r="H21"/>
  <c r="G21"/>
  <c r="F21"/>
  <c r="E21"/>
  <c r="J20"/>
  <c r="I20"/>
  <c r="H20"/>
  <c r="G20"/>
  <c r="F20"/>
  <c r="E20"/>
  <c r="J19"/>
  <c r="I19"/>
  <c r="H19"/>
  <c r="G19"/>
  <c r="F19"/>
  <c r="E19"/>
  <c r="J18"/>
  <c r="I18"/>
  <c r="H18"/>
  <c r="G18"/>
  <c r="F18"/>
  <c r="E18"/>
  <c r="J17"/>
  <c r="I17"/>
  <c r="H17"/>
  <c r="G17"/>
  <c r="F17"/>
  <c r="E17"/>
  <c r="J16"/>
  <c r="I16"/>
  <c r="H16"/>
  <c r="G16"/>
  <c r="F16"/>
  <c r="E16"/>
  <c r="J15"/>
  <c r="I15"/>
  <c r="H15"/>
  <c r="G15"/>
  <c r="F15"/>
  <c r="E15"/>
  <c r="J14"/>
  <c r="I14"/>
  <c r="H14"/>
  <c r="G14"/>
  <c r="F14"/>
  <c r="E14"/>
  <c r="J13"/>
  <c r="I13"/>
  <c r="H13"/>
  <c r="G13"/>
  <c r="F13"/>
  <c r="E13"/>
  <c r="J12"/>
  <c r="I12"/>
  <c r="H12"/>
  <c r="G12"/>
  <c r="F12"/>
  <c r="E12"/>
  <c r="J11"/>
  <c r="I11"/>
  <c r="H11"/>
  <c r="G11"/>
  <c r="F11"/>
  <c r="E11"/>
  <c r="J10"/>
  <c r="I10"/>
  <c r="H10"/>
  <c r="G10"/>
  <c r="F10"/>
  <c r="E10"/>
  <c r="J9"/>
  <c r="I9"/>
  <c r="H9"/>
  <c r="G9"/>
  <c r="F9"/>
  <c r="E9"/>
  <c r="J8"/>
  <c r="I8"/>
  <c r="H8"/>
  <c r="G8"/>
  <c r="E8"/>
  <c r="I12" i="1"/>
  <c r="AU14" i="14" s="1"/>
  <c r="I13" i="1" l="1"/>
  <c r="AU15" i="14" s="1"/>
  <c r="I14" i="1"/>
  <c r="AU16" i="14" s="1"/>
  <c r="I15" i="1"/>
  <c r="AU17" i="14" s="1"/>
  <c r="I16" i="1"/>
  <c r="AU18" i="14" s="1"/>
  <c r="I17" i="1"/>
  <c r="AU19" i="14" s="1"/>
  <c r="I18" i="1"/>
  <c r="AU20" i="14" s="1"/>
  <c r="I19" i="1"/>
  <c r="AU21" i="14" s="1"/>
  <c r="I20" i="1"/>
  <c r="AU22" i="14" s="1"/>
  <c r="I21" i="1"/>
  <c r="AU23" i="14" s="1"/>
  <c r="I22" i="1"/>
  <c r="AU24" i="14" s="1"/>
  <c r="I23" i="1"/>
  <c r="AU25" i="14" s="1"/>
  <c r="I24" i="1"/>
  <c r="AU26" i="14" s="1"/>
  <c r="I25" i="1"/>
  <c r="AU27" i="14" s="1"/>
  <c r="I26" i="1"/>
  <c r="AU28" i="14" s="1"/>
  <c r="S12" i="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11"/>
  <c r="Z9" i="14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8"/>
  <c r="M7" i="13"/>
  <c r="H8" i="7" l="1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7"/>
  <c r="AG10" i="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9"/>
  <c r="AG30" l="1"/>
  <c r="K13" i="14"/>
  <c r="M6" i="10"/>
  <c r="F4" i="12"/>
  <c r="H27" i="13"/>
  <c r="G27"/>
  <c r="F27"/>
  <c r="N23" i="14"/>
  <c r="N24"/>
  <c r="N25"/>
  <c r="N26"/>
  <c r="N27"/>
  <c r="N28"/>
  <c r="K23"/>
  <c r="K24"/>
  <c r="K25"/>
  <c r="K26"/>
  <c r="K27"/>
  <c r="K28"/>
  <c r="H23"/>
  <c r="H24"/>
  <c r="H25"/>
  <c r="H26"/>
  <c r="H27"/>
  <c r="H28"/>
  <c r="G23"/>
  <c r="G24"/>
  <c r="G25"/>
  <c r="G26"/>
  <c r="G27"/>
  <c r="G28"/>
  <c r="F23"/>
  <c r="AS23" s="1"/>
  <c r="F24"/>
  <c r="AS24" s="1"/>
  <c r="F25"/>
  <c r="AS25" s="1"/>
  <c r="F26"/>
  <c r="AS26" s="1"/>
  <c r="F27"/>
  <c r="AS27" s="1"/>
  <c r="F28"/>
  <c r="AS28" s="1"/>
  <c r="E24"/>
  <c r="E25"/>
  <c r="E26"/>
  <c r="E27"/>
  <c r="E28"/>
  <c r="E23"/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T27" i="14" l="1"/>
  <c r="AV27" s="1"/>
  <c r="BF27"/>
  <c r="AT23"/>
  <c r="AV23" s="1"/>
  <c r="BF23"/>
  <c r="AT24"/>
  <c r="AV24" s="1"/>
  <c r="BF24"/>
  <c r="AT28"/>
  <c r="AV28" s="1"/>
  <c r="BF28"/>
  <c r="AT25"/>
  <c r="AV25" s="1"/>
  <c r="BF25"/>
  <c r="AT26"/>
  <c r="AV26" s="1"/>
  <c r="BF26"/>
  <c r="BI25"/>
  <c r="BJ25" s="1"/>
  <c r="BI26"/>
  <c r="BJ26" s="1"/>
  <c r="BI27"/>
  <c r="BJ27" s="1"/>
  <c r="BI23"/>
  <c r="BJ23" s="1"/>
  <c r="BI28"/>
  <c r="BJ28" s="1"/>
  <c r="BI24"/>
  <c r="BJ24" s="1"/>
  <c r="AA5" i="10"/>
  <c r="B9"/>
  <c r="B5" i="13"/>
  <c r="AE5"/>
  <c r="B13" i="12" l="1"/>
  <c r="F11"/>
  <c r="G11"/>
  <c r="H11"/>
  <c r="M11"/>
  <c r="E12"/>
  <c r="E13" s="1"/>
  <c r="E14" s="1"/>
  <c r="E15" s="1"/>
  <c r="E16" s="1"/>
  <c r="E17" s="1"/>
  <c r="E18" s="1"/>
  <c r="E19" s="1"/>
  <c r="F12"/>
  <c r="G12"/>
  <c r="H12"/>
  <c r="M12"/>
  <c r="F13"/>
  <c r="G13"/>
  <c r="H13"/>
  <c r="M13"/>
  <c r="F14"/>
  <c r="G14"/>
  <c r="H14"/>
  <c r="M14"/>
  <c r="F15"/>
  <c r="G15"/>
  <c r="H15"/>
  <c r="M15"/>
  <c r="F16"/>
  <c r="G16"/>
  <c r="H16"/>
  <c r="M16"/>
  <c r="F17"/>
  <c r="G17"/>
  <c r="H17"/>
  <c r="M17"/>
  <c r="F18"/>
  <c r="G18"/>
  <c r="H18"/>
  <c r="M18"/>
  <c r="F19"/>
  <c r="G19"/>
  <c r="H19"/>
  <c r="M19"/>
  <c r="AI4"/>
  <c r="AJ4" i="14"/>
  <c r="AD11" i="12" l="1"/>
  <c r="AD30"/>
  <c r="AD28"/>
  <c r="AD26"/>
  <c r="AD24"/>
  <c r="AD22"/>
  <c r="AD20"/>
  <c r="AD18"/>
  <c r="AD16"/>
  <c r="AD14"/>
  <c r="AD12"/>
  <c r="AD29"/>
  <c r="AD27"/>
  <c r="AD25"/>
  <c r="AD23"/>
  <c r="AD21"/>
  <c r="AD19"/>
  <c r="AD17"/>
  <c r="AD15"/>
  <c r="AD13"/>
  <c r="AF30"/>
  <c r="AF28"/>
  <c r="AF26"/>
  <c r="AF24"/>
  <c r="AF22"/>
  <c r="AF20"/>
  <c r="AF18"/>
  <c r="AF14"/>
  <c r="AF12"/>
  <c r="AF11"/>
  <c r="AH29" i="10"/>
  <c r="AF29" i="12"/>
  <c r="AF27"/>
  <c r="AF25"/>
  <c r="AF23"/>
  <c r="AF21"/>
  <c r="AF19"/>
  <c r="E32" i="7"/>
  <c r="B32" i="9"/>
  <c r="D34" i="3"/>
  <c r="E33" i="2"/>
  <c r="AG15" i="12" l="1"/>
  <c r="AH13" i="10"/>
  <c r="AG17" i="12"/>
  <c r="AH15" i="10"/>
  <c r="AG21" i="12"/>
  <c r="AH19" i="10"/>
  <c r="AG25" i="12"/>
  <c r="AH23" i="10"/>
  <c r="AG29" i="12"/>
  <c r="AH27" i="10"/>
  <c r="AH12"/>
  <c r="AG14" i="12"/>
  <c r="AH16" i="10"/>
  <c r="AG18" i="12"/>
  <c r="AH20" i="10"/>
  <c r="AG22" i="12"/>
  <c r="AH24" i="10"/>
  <c r="AG26" i="12"/>
  <c r="AH28" i="10"/>
  <c r="AG30" i="12"/>
  <c r="AG13"/>
  <c r="AH11" i="10"/>
  <c r="AG19" i="12"/>
  <c r="AH17" i="10"/>
  <c r="AG23" i="12"/>
  <c r="AH21" i="10"/>
  <c r="AG27" i="12"/>
  <c r="AH25" i="10"/>
  <c r="AG11" i="12"/>
  <c r="AH9" i="10"/>
  <c r="AH10"/>
  <c r="AG12" i="12"/>
  <c r="AH14" i="10"/>
  <c r="AG16" i="12"/>
  <c r="AH18" i="10"/>
  <c r="AG20" i="12"/>
  <c r="AH22" i="10"/>
  <c r="AG24" i="12"/>
  <c r="AH26" i="10"/>
  <c r="AG28" i="12"/>
  <c r="Q8" i="14"/>
  <c r="O8"/>
  <c r="N9"/>
  <c r="N10"/>
  <c r="N11"/>
  <c r="N12"/>
  <c r="N13"/>
  <c r="N14"/>
  <c r="N15"/>
  <c r="N16"/>
  <c r="N17"/>
  <c r="N18"/>
  <c r="N19"/>
  <c r="N20"/>
  <c r="N21"/>
  <c r="N22"/>
  <c r="N8"/>
  <c r="K9"/>
  <c r="K10"/>
  <c r="K11"/>
  <c r="K12"/>
  <c r="K14"/>
  <c r="K15"/>
  <c r="K16"/>
  <c r="K17"/>
  <c r="K18"/>
  <c r="K19"/>
  <c r="K20"/>
  <c r="K21"/>
  <c r="K22"/>
  <c r="K8"/>
  <c r="H9"/>
  <c r="H10"/>
  <c r="H11"/>
  <c r="H12"/>
  <c r="H13"/>
  <c r="H14"/>
  <c r="H15"/>
  <c r="H16"/>
  <c r="H17"/>
  <c r="H18"/>
  <c r="H19"/>
  <c r="H20"/>
  <c r="H21"/>
  <c r="H22"/>
  <c r="H8"/>
  <c r="G9"/>
  <c r="G10"/>
  <c r="G11"/>
  <c r="G12"/>
  <c r="G13"/>
  <c r="G14"/>
  <c r="G15"/>
  <c r="G16"/>
  <c r="G17"/>
  <c r="G18"/>
  <c r="G19"/>
  <c r="G20"/>
  <c r="G21"/>
  <c r="G22"/>
  <c r="G8"/>
  <c r="F9"/>
  <c r="F10"/>
  <c r="F11"/>
  <c r="F12"/>
  <c r="F13"/>
  <c r="F14"/>
  <c r="F15"/>
  <c r="AS15" s="1"/>
  <c r="F16"/>
  <c r="AS16" s="1"/>
  <c r="F17"/>
  <c r="AS17" s="1"/>
  <c r="F18"/>
  <c r="AS18" s="1"/>
  <c r="F19"/>
  <c r="AS19" s="1"/>
  <c r="F20"/>
  <c r="AS20" s="1"/>
  <c r="F21"/>
  <c r="AS21" s="1"/>
  <c r="F22"/>
  <c r="AS22" s="1"/>
  <c r="F8"/>
  <c r="E9"/>
  <c r="E10"/>
  <c r="E11"/>
  <c r="E12"/>
  <c r="E13"/>
  <c r="E14"/>
  <c r="E15"/>
  <c r="E16"/>
  <c r="E17"/>
  <c r="E18"/>
  <c r="E19"/>
  <c r="E20"/>
  <c r="E21"/>
  <c r="E22"/>
  <c r="E8"/>
  <c r="AT22" l="1"/>
  <c r="AV22" s="1"/>
  <c r="BF22"/>
  <c r="AT20"/>
  <c r="AV20" s="1"/>
  <c r="BF20"/>
  <c r="AT16"/>
  <c r="AV16" s="1"/>
  <c r="BF16"/>
  <c r="AT18"/>
  <c r="AV18" s="1"/>
  <c r="BF18"/>
  <c r="AT21"/>
  <c r="AV21" s="1"/>
  <c r="BF21"/>
  <c r="AT17"/>
  <c r="AV17" s="1"/>
  <c r="BF17"/>
  <c r="AT19"/>
  <c r="AV19" s="1"/>
  <c r="BF19"/>
  <c r="AT15"/>
  <c r="AV15" s="1"/>
  <c r="BF15"/>
  <c r="BI8"/>
  <c r="BJ8" s="1"/>
  <c r="BI19"/>
  <c r="BJ19" s="1"/>
  <c r="BI15"/>
  <c r="BJ15" s="1"/>
  <c r="BI20"/>
  <c r="BJ20" s="1"/>
  <c r="BI16"/>
  <c r="BJ16" s="1"/>
  <c r="BI22"/>
  <c r="BJ22" s="1"/>
  <c r="BI18"/>
  <c r="BJ18" s="1"/>
  <c r="BI21"/>
  <c r="BJ21" s="1"/>
  <c r="BI17"/>
  <c r="BJ17" s="1"/>
  <c r="AH30" i="10"/>
  <c r="R30" s="1"/>
  <c r="H26" i="13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S12" s="1"/>
  <c r="F12"/>
  <c r="H11"/>
  <c r="G11"/>
  <c r="S11" s="1"/>
  <c r="F11"/>
  <c r="H10"/>
  <c r="G10"/>
  <c r="S10" s="1"/>
  <c r="F10"/>
  <c r="H9"/>
  <c r="G9"/>
  <c r="S9" s="1"/>
  <c r="F9"/>
  <c r="H8"/>
  <c r="G8"/>
  <c r="S8" s="1"/>
  <c r="F8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R7"/>
  <c r="H7"/>
  <c r="G7"/>
  <c r="F7"/>
  <c r="T10" i="14" l="1"/>
  <c r="U9" i="13"/>
  <c r="V9"/>
  <c r="T9"/>
  <c r="T12" i="14"/>
  <c r="U11" i="13"/>
  <c r="T11"/>
  <c r="V11"/>
  <c r="T8"/>
  <c r="T9" i="14"/>
  <c r="U8" i="13"/>
  <c r="V8"/>
  <c r="T11" i="14"/>
  <c r="U10" i="13"/>
  <c r="T10"/>
  <c r="V10"/>
  <c r="U12"/>
  <c r="T13" i="14"/>
  <c r="T12" i="13"/>
  <c r="V12"/>
  <c r="S7"/>
  <c r="T7" l="1"/>
  <c r="T8" i="14"/>
  <c r="M20" i="12"/>
  <c r="M21"/>
  <c r="M22"/>
  <c r="M23"/>
  <c r="M24"/>
  <c r="M25"/>
  <c r="M26"/>
  <c r="M27"/>
  <c r="M28"/>
  <c r="M29"/>
  <c r="M30"/>
  <c r="H20"/>
  <c r="H21"/>
  <c r="H22"/>
  <c r="H23"/>
  <c r="H24"/>
  <c r="H25"/>
  <c r="H26"/>
  <c r="H27"/>
  <c r="H28"/>
  <c r="H29"/>
  <c r="H30"/>
  <c r="G20"/>
  <c r="G21"/>
  <c r="G22"/>
  <c r="G23"/>
  <c r="G24"/>
  <c r="G25"/>
  <c r="G26"/>
  <c r="G27"/>
  <c r="G28"/>
  <c r="G29"/>
  <c r="G30"/>
  <c r="F20"/>
  <c r="F21"/>
  <c r="F22"/>
  <c r="F23"/>
  <c r="F24"/>
  <c r="F25"/>
  <c r="F26"/>
  <c r="F27"/>
  <c r="F28"/>
  <c r="F29"/>
  <c r="F30"/>
  <c r="E20"/>
  <c r="E21" s="1"/>
  <c r="E22" s="1"/>
  <c r="E23" s="1"/>
  <c r="E24" s="1"/>
  <c r="E25" s="1"/>
  <c r="E26" s="1"/>
  <c r="E27" s="1"/>
  <c r="E28" s="1"/>
  <c r="E29" s="1"/>
  <c r="E30" s="1"/>
  <c r="H31" i="7" l="1"/>
  <c r="H29"/>
  <c r="B32"/>
  <c r="G28" i="9"/>
  <c r="S27" i="1"/>
  <c r="D4" i="2"/>
  <c r="G39" i="3"/>
  <c r="V2" i="2"/>
  <c r="G37" i="7"/>
  <c r="G36" i="9"/>
  <c r="G38" i="2"/>
  <c r="P10" i="9" l="1"/>
  <c r="A4" i="7"/>
  <c r="F36" i="3"/>
  <c r="AW6" i="1"/>
  <c r="F7" i="3" l="1"/>
  <c r="AL7" i="1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6"/>
  <c r="A8" i="2" l="1"/>
  <c r="A9"/>
  <c r="A10"/>
  <c r="A11"/>
  <c r="A12"/>
  <c r="A13"/>
  <c r="E8" i="7"/>
  <c r="G8" s="1"/>
  <c r="AE9" i="14" s="1"/>
  <c r="AG9" s="1"/>
  <c r="E9" i="7"/>
  <c r="G9" s="1"/>
  <c r="E10"/>
  <c r="G10" s="1"/>
  <c r="AE11" i="14" s="1"/>
  <c r="AG11" s="1"/>
  <c r="E11" i="7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E10" i="14" l="1"/>
  <c r="AG10" s="1"/>
  <c r="AE13"/>
  <c r="AG13" s="1"/>
  <c r="AE12"/>
  <c r="AG12" s="1"/>
  <c r="AA26" i="17"/>
  <c r="AA24"/>
  <c r="AA25"/>
  <c r="AA21"/>
  <c r="AI7" i="1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C8" i="9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F8" i="3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B9" i="2"/>
  <c r="C9"/>
  <c r="D9"/>
  <c r="J9" i="13" s="1"/>
  <c r="B10" i="2"/>
  <c r="C10"/>
  <c r="D10"/>
  <c r="J10" i="13" s="1"/>
  <c r="B11" i="2"/>
  <c r="C11"/>
  <c r="D11"/>
  <c r="J11" i="13" s="1"/>
  <c r="B12" i="2"/>
  <c r="C12"/>
  <c r="D12"/>
  <c r="J12" i="13" s="1"/>
  <c r="B13" i="2"/>
  <c r="C13"/>
  <c r="D13"/>
  <c r="J13" i="13" s="1"/>
  <c r="B14" i="2"/>
  <c r="C14"/>
  <c r="D14"/>
  <c r="J14" i="13" s="1"/>
  <c r="B15" i="2"/>
  <c r="C15"/>
  <c r="D15"/>
  <c r="J15" i="13" s="1"/>
  <c r="B16" i="2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J27" i="13" s="1"/>
  <c r="G10" i="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T7" i="1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R27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J26" i="17" l="1"/>
  <c r="J26" i="13"/>
  <c r="J24" i="17"/>
  <c r="J24" i="13"/>
  <c r="J22" i="17"/>
  <c r="J22" i="13"/>
  <c r="J20" i="17"/>
  <c r="J20" i="13"/>
  <c r="J18" i="17"/>
  <c r="J18" i="13"/>
  <c r="J16" i="17"/>
  <c r="J16" i="13"/>
  <c r="J25" i="17"/>
  <c r="J25" i="13"/>
  <c r="J23" i="17"/>
  <c r="J23" i="13"/>
  <c r="J21" i="17"/>
  <c r="J21" i="13"/>
  <c r="J19" i="17"/>
  <c r="J19" i="13"/>
  <c r="J17" i="17"/>
  <c r="J17" i="13"/>
  <c r="AD11" i="14"/>
  <c r="W10" i="13"/>
  <c r="AA10"/>
  <c r="AD9" i="14"/>
  <c r="AA8" i="13"/>
  <c r="W8"/>
  <c r="AD13" i="14"/>
  <c r="W12" i="13"/>
  <c r="AA12"/>
  <c r="W11"/>
  <c r="AA11"/>
  <c r="AD10" i="14"/>
  <c r="W9" i="13"/>
  <c r="AA9"/>
  <c r="AD14" i="14"/>
  <c r="P13" i="2"/>
  <c r="S13" i="7" s="1"/>
  <c r="T13" s="1"/>
  <c r="P12" i="1"/>
  <c r="Q13" i="2"/>
  <c r="U14" i="14" s="1"/>
  <c r="V14" s="1"/>
  <c r="I15" i="10"/>
  <c r="AD12" i="14"/>
  <c r="Q13" i="10"/>
  <c r="AF15" i="12" s="1"/>
  <c r="Q12" i="2"/>
  <c r="U13" i="14" s="1"/>
  <c r="V13" s="1"/>
  <c r="P12" i="2"/>
  <c r="S12" i="7" s="1"/>
  <c r="T12" s="1"/>
  <c r="I14" i="10"/>
  <c r="P11" i="1"/>
  <c r="P10"/>
  <c r="Q11" i="2"/>
  <c r="U12" i="14" s="1"/>
  <c r="V12" s="1"/>
  <c r="P11" i="2"/>
  <c r="S11" i="7" s="1"/>
  <c r="T11" s="1"/>
  <c r="I13" i="10"/>
  <c r="Q9" i="2"/>
  <c r="U10" i="14" s="1"/>
  <c r="V10" s="1"/>
  <c r="I11" i="10"/>
  <c r="P9" i="2"/>
  <c r="S9" i="7" s="1"/>
  <c r="T9" s="1"/>
  <c r="Q10" i="2"/>
  <c r="U11" i="14" s="1"/>
  <c r="V11" s="1"/>
  <c r="P10" i="2"/>
  <c r="S10" i="7" s="1"/>
  <c r="T10" s="1"/>
  <c r="I12" i="10"/>
  <c r="P9" i="1"/>
  <c r="P7"/>
  <c r="I10" i="10"/>
  <c r="P8" i="1"/>
  <c r="AA23" i="17"/>
  <c r="AA27"/>
  <c r="BE27" i="14"/>
  <c r="BG27" s="1"/>
  <c r="BH27" s="1"/>
  <c r="AR27"/>
  <c r="BB27"/>
  <c r="BC27" s="1"/>
  <c r="BD27" s="1"/>
  <c r="BE28"/>
  <c r="BG28" s="1"/>
  <c r="BH28" s="1"/>
  <c r="AR28"/>
  <c r="BB28"/>
  <c r="BC28" s="1"/>
  <c r="BD28" s="1"/>
  <c r="BE26"/>
  <c r="BG26" s="1"/>
  <c r="BH26" s="1"/>
  <c r="AR26"/>
  <c r="BB26"/>
  <c r="BC26" s="1"/>
  <c r="BD26" s="1"/>
  <c r="BE24"/>
  <c r="BG24" s="1"/>
  <c r="BH24" s="1"/>
  <c r="AR24"/>
  <c r="BB24"/>
  <c r="BC24" s="1"/>
  <c r="BD24" s="1"/>
  <c r="BE22"/>
  <c r="BG22" s="1"/>
  <c r="BH22" s="1"/>
  <c r="AR22"/>
  <c r="BB22"/>
  <c r="BC22" s="1"/>
  <c r="BD22" s="1"/>
  <c r="BE20"/>
  <c r="BG20" s="1"/>
  <c r="BH20" s="1"/>
  <c r="AR20"/>
  <c r="BB20"/>
  <c r="BC20" s="1"/>
  <c r="BD20" s="1"/>
  <c r="BE18"/>
  <c r="BG18" s="1"/>
  <c r="BH18" s="1"/>
  <c r="AR18"/>
  <c r="BB18"/>
  <c r="BC18" s="1"/>
  <c r="BD18" s="1"/>
  <c r="BE16"/>
  <c r="BG16" s="1"/>
  <c r="BH16" s="1"/>
  <c r="AR16"/>
  <c r="BB16"/>
  <c r="BC16" s="1"/>
  <c r="BD16" s="1"/>
  <c r="BE14"/>
  <c r="AR14"/>
  <c r="AS14" s="1"/>
  <c r="BB14"/>
  <c r="BE12"/>
  <c r="AR12"/>
  <c r="AS12" s="1"/>
  <c r="BB12"/>
  <c r="BE25"/>
  <c r="BG25" s="1"/>
  <c r="BH25" s="1"/>
  <c r="AR25"/>
  <c r="BB25"/>
  <c r="BC25" s="1"/>
  <c r="BD25" s="1"/>
  <c r="BE23"/>
  <c r="BG23" s="1"/>
  <c r="BH23" s="1"/>
  <c r="AR23"/>
  <c r="BB23"/>
  <c r="BC23" s="1"/>
  <c r="BD23" s="1"/>
  <c r="BE21"/>
  <c r="BG21" s="1"/>
  <c r="BH21" s="1"/>
  <c r="AR21"/>
  <c r="BB21"/>
  <c r="BC21" s="1"/>
  <c r="BD21" s="1"/>
  <c r="BE19"/>
  <c r="BG19" s="1"/>
  <c r="BH19" s="1"/>
  <c r="AR19"/>
  <c r="BB19"/>
  <c r="BC19" s="1"/>
  <c r="BD19" s="1"/>
  <c r="BE17"/>
  <c r="BG17" s="1"/>
  <c r="BH17" s="1"/>
  <c r="AR17"/>
  <c r="BB17"/>
  <c r="BC17" s="1"/>
  <c r="BD17" s="1"/>
  <c r="BE15"/>
  <c r="BG15" s="1"/>
  <c r="BH15" s="1"/>
  <c r="AR15"/>
  <c r="BB15"/>
  <c r="BC15" s="1"/>
  <c r="BD15" s="1"/>
  <c r="BE13"/>
  <c r="AR13"/>
  <c r="AS13" s="1"/>
  <c r="BB13"/>
  <c r="AR10"/>
  <c r="AS10" s="1"/>
  <c r="BB10"/>
  <c r="AR9"/>
  <c r="AS9" s="1"/>
  <c r="BB9"/>
  <c r="BB11"/>
  <c r="BC11" s="1"/>
  <c r="AR11"/>
  <c r="AS11" s="1"/>
  <c r="BE11"/>
  <c r="AF13" i="12"/>
  <c r="BE10" i="14"/>
  <c r="AA25" i="1"/>
  <c r="W26" i="17"/>
  <c r="AB26"/>
  <c r="K27" i="16"/>
  <c r="S27" s="1"/>
  <c r="X27" i="14"/>
  <c r="AY27" s="1"/>
  <c r="AA26" i="1"/>
  <c r="AB27" i="17"/>
  <c r="W27"/>
  <c r="K28" i="16"/>
  <c r="S28" s="1"/>
  <c r="X28" i="14"/>
  <c r="AY28" s="1"/>
  <c r="AA24" i="1"/>
  <c r="AB25" i="17"/>
  <c r="W25"/>
  <c r="K26" i="16"/>
  <c r="S26" s="1"/>
  <c r="X26" i="14"/>
  <c r="AY26" s="1"/>
  <c r="AA22" i="1"/>
  <c r="AB23" i="17"/>
  <c r="W23"/>
  <c r="K24" i="16"/>
  <c r="S24" s="1"/>
  <c r="X24" i="14"/>
  <c r="AY24" s="1"/>
  <c r="AA20" i="1"/>
  <c r="AB21" i="17"/>
  <c r="W21"/>
  <c r="K22" i="16"/>
  <c r="S22" s="1"/>
  <c r="X22" i="14"/>
  <c r="AY22" s="1"/>
  <c r="AA18" i="1"/>
  <c r="AB19" i="17"/>
  <c r="W19"/>
  <c r="K20" i="16"/>
  <c r="S20" s="1"/>
  <c r="X20" i="14"/>
  <c r="AY20" s="1"/>
  <c r="AA16" i="1"/>
  <c r="AB17" i="17"/>
  <c r="W17"/>
  <c r="K18" i="16"/>
  <c r="S18" s="1"/>
  <c r="X18" i="14"/>
  <c r="AY18" s="1"/>
  <c r="AA14" i="1"/>
  <c r="AB15" i="17"/>
  <c r="W15"/>
  <c r="K16" i="16"/>
  <c r="S16" s="1"/>
  <c r="X16" i="14"/>
  <c r="AY16" s="1"/>
  <c r="AA12" i="1"/>
  <c r="AB13" i="17"/>
  <c r="W13"/>
  <c r="K14" i="16"/>
  <c r="S14" s="1"/>
  <c r="X14" i="14"/>
  <c r="AY14" s="1"/>
  <c r="AA23" i="1"/>
  <c r="W24" i="17"/>
  <c r="AB24"/>
  <c r="K25" i="16"/>
  <c r="S25" s="1"/>
  <c r="X25" i="14"/>
  <c r="AY25" s="1"/>
  <c r="AA21" i="1"/>
  <c r="W22" i="17"/>
  <c r="AB22"/>
  <c r="K23" i="16"/>
  <c r="S23" s="1"/>
  <c r="X23" i="14"/>
  <c r="AY23" s="1"/>
  <c r="AA19" i="1"/>
  <c r="W20" i="17"/>
  <c r="AB20"/>
  <c r="K21" i="16"/>
  <c r="S21" s="1"/>
  <c r="X21" i="14"/>
  <c r="AY21" s="1"/>
  <c r="AA17" i="1"/>
  <c r="W18" i="17"/>
  <c r="AB18"/>
  <c r="K19" i="16"/>
  <c r="S19" s="1"/>
  <c r="X19" i="14"/>
  <c r="AY19" s="1"/>
  <c r="AA15" i="1"/>
  <c r="W16" i="17"/>
  <c r="AB16"/>
  <c r="K17" i="16"/>
  <c r="S17" s="1"/>
  <c r="X17" i="14"/>
  <c r="AY17" s="1"/>
  <c r="AA13" i="1"/>
  <c r="W14" i="17"/>
  <c r="AB14"/>
  <c r="K15" i="16"/>
  <c r="S15" s="1"/>
  <c r="X15" i="14"/>
  <c r="AY15" s="1"/>
  <c r="AA11" i="1"/>
  <c r="W12" i="17"/>
  <c r="AB12"/>
  <c r="J27"/>
  <c r="J19" i="12"/>
  <c r="J15" i="17"/>
  <c r="J17" i="12"/>
  <c r="J13" i="17"/>
  <c r="J18" i="12"/>
  <c r="J14" i="17"/>
  <c r="J16" i="12"/>
  <c r="J12" i="17"/>
  <c r="AB11"/>
  <c r="W11"/>
  <c r="J15" i="12"/>
  <c r="J11" i="17"/>
  <c r="AB9"/>
  <c r="W9"/>
  <c r="J13" i="12"/>
  <c r="J9" i="17"/>
  <c r="W10"/>
  <c r="AB10"/>
  <c r="AB8"/>
  <c r="W8"/>
  <c r="J14" i="12"/>
  <c r="J10" i="17"/>
  <c r="K9" i="16"/>
  <c r="S9" s="1"/>
  <c r="K10"/>
  <c r="S10" s="1"/>
  <c r="X10" i="14"/>
  <c r="AY10" s="1"/>
  <c r="X12"/>
  <c r="AY12" s="1"/>
  <c r="BA12" s="1"/>
  <c r="K12" i="16"/>
  <c r="S12" s="1"/>
  <c r="K13"/>
  <c r="S13" s="1"/>
  <c r="X13" i="14"/>
  <c r="AY13" s="1"/>
  <c r="AF16" i="12"/>
  <c r="K11" i="16"/>
  <c r="S11" s="1"/>
  <c r="X11" i="14"/>
  <c r="AY11" s="1"/>
  <c r="X9"/>
  <c r="AY9" s="1"/>
  <c r="BK26"/>
  <c r="BL26" s="1"/>
  <c r="AB26"/>
  <c r="BK22"/>
  <c r="BL22" s="1"/>
  <c r="AB22"/>
  <c r="BK18"/>
  <c r="BL18" s="1"/>
  <c r="AB18"/>
  <c r="F27" i="2"/>
  <c r="V27" s="1"/>
  <c r="BK28" i="14"/>
  <c r="BL28" s="1"/>
  <c r="AB28"/>
  <c r="BK24"/>
  <c r="BL24" s="1"/>
  <c r="AB24"/>
  <c r="BK20"/>
  <c r="BL20" s="1"/>
  <c r="AB20"/>
  <c r="AB27"/>
  <c r="BK27"/>
  <c r="BL27" s="1"/>
  <c r="BK25"/>
  <c r="BL25" s="1"/>
  <c r="AB25"/>
  <c r="AB23"/>
  <c r="BK23"/>
  <c r="BL23" s="1"/>
  <c r="AB21"/>
  <c r="BK21"/>
  <c r="BL21" s="1"/>
  <c r="AB19"/>
  <c r="BK19"/>
  <c r="BL19" s="1"/>
  <c r="BK17"/>
  <c r="BL17" s="1"/>
  <c r="BK15"/>
  <c r="BL15" s="1"/>
  <c r="BK13"/>
  <c r="BK11"/>
  <c r="BK16"/>
  <c r="BL16" s="1"/>
  <c r="BK14"/>
  <c r="BL14" s="1"/>
  <c r="AF17" i="12"/>
  <c r="BK12" i="14"/>
  <c r="BK9"/>
  <c r="BK10"/>
  <c r="N18" i="12"/>
  <c r="Q18" s="1"/>
  <c r="N16"/>
  <c r="U14"/>
  <c r="N14"/>
  <c r="N12"/>
  <c r="N19"/>
  <c r="Q19" s="1"/>
  <c r="N17"/>
  <c r="Q17" s="1"/>
  <c r="N15"/>
  <c r="Q15" s="1"/>
  <c r="N13"/>
  <c r="N30"/>
  <c r="Q30" s="1"/>
  <c r="U30"/>
  <c r="F26" i="2"/>
  <c r="R30" i="12"/>
  <c r="N26"/>
  <c r="Q26" s="1"/>
  <c r="U26"/>
  <c r="N24"/>
  <c r="Q24" s="1"/>
  <c r="U24"/>
  <c r="R24"/>
  <c r="F20" i="2"/>
  <c r="V20" s="1"/>
  <c r="N20" i="12"/>
  <c r="Q20" s="1"/>
  <c r="U20"/>
  <c r="R20"/>
  <c r="F16" i="2"/>
  <c r="V16" s="1"/>
  <c r="U29" i="12"/>
  <c r="N29"/>
  <c r="Q29" s="1"/>
  <c r="R29"/>
  <c r="F25" i="2"/>
  <c r="V25" s="1"/>
  <c r="U27" i="12"/>
  <c r="N27"/>
  <c r="Q27" s="1"/>
  <c r="R27"/>
  <c r="F23" i="2"/>
  <c r="U25" i="12"/>
  <c r="N25"/>
  <c r="Q25" s="1"/>
  <c r="F21" i="2"/>
  <c r="R25" i="12"/>
  <c r="U23"/>
  <c r="N23"/>
  <c r="Q23" s="1"/>
  <c r="F19" i="2"/>
  <c r="R23" i="12"/>
  <c r="U21"/>
  <c r="N21"/>
  <c r="Q21" s="1"/>
  <c r="F17" i="2"/>
  <c r="V17" s="1"/>
  <c r="R21" i="12"/>
  <c r="U19"/>
  <c r="U17"/>
  <c r="U15"/>
  <c r="U13"/>
  <c r="N28"/>
  <c r="Q28" s="1"/>
  <c r="U28"/>
  <c r="F24" i="2"/>
  <c r="R28" i="12"/>
  <c r="N22"/>
  <c r="Q22" s="1"/>
  <c r="U22"/>
  <c r="R22"/>
  <c r="F18" i="2"/>
  <c r="V18" s="1"/>
  <c r="U18" i="12"/>
  <c r="U16"/>
  <c r="U12"/>
  <c r="F14" i="2"/>
  <c r="F10"/>
  <c r="F15"/>
  <c r="F13"/>
  <c r="F11"/>
  <c r="J29" i="12"/>
  <c r="J27"/>
  <c r="J25"/>
  <c r="J23"/>
  <c r="J21"/>
  <c r="J30"/>
  <c r="J28"/>
  <c r="J26"/>
  <c r="J24"/>
  <c r="J22"/>
  <c r="J20"/>
  <c r="F8" i="2"/>
  <c r="R12" i="12"/>
  <c r="F9" i="2"/>
  <c r="F12"/>
  <c r="V12" s="1"/>
  <c r="F22"/>
  <c r="R26" i="12"/>
  <c r="R17"/>
  <c r="R19"/>
  <c r="R15"/>
  <c r="R18"/>
  <c r="R16"/>
  <c r="R14"/>
  <c r="R13"/>
  <c r="S26" i="1"/>
  <c r="E27" i="2" s="1"/>
  <c r="S24" i="1"/>
  <c r="S22"/>
  <c r="E23" i="2" s="1"/>
  <c r="S20" i="1"/>
  <c r="S18"/>
  <c r="E19" i="2" s="1"/>
  <c r="S16" i="1"/>
  <c r="S14"/>
  <c r="S25"/>
  <c r="E26" i="2" s="1"/>
  <c r="S23" i="1"/>
  <c r="S21"/>
  <c r="E22" i="2" s="1"/>
  <c r="S19" i="1"/>
  <c r="E20" i="2" s="1"/>
  <c r="S17" i="1"/>
  <c r="S15"/>
  <c r="S13"/>
  <c r="R25" i="2"/>
  <c r="R21"/>
  <c r="R17"/>
  <c r="R26"/>
  <c r="R22"/>
  <c r="AU8" i="1"/>
  <c r="AU9"/>
  <c r="U26" i="2"/>
  <c r="T26"/>
  <c r="U24"/>
  <c r="T24"/>
  <c r="U22"/>
  <c r="T22"/>
  <c r="U20"/>
  <c r="T20"/>
  <c r="U18"/>
  <c r="T18"/>
  <c r="U16"/>
  <c r="T16"/>
  <c r="U14"/>
  <c r="T14"/>
  <c r="U12"/>
  <c r="T12"/>
  <c r="U10"/>
  <c r="T10"/>
  <c r="U27"/>
  <c r="T27"/>
  <c r="U25"/>
  <c r="T25"/>
  <c r="U23"/>
  <c r="T23"/>
  <c r="U21"/>
  <c r="T21"/>
  <c r="U19"/>
  <c r="T19"/>
  <c r="U17"/>
  <c r="T17"/>
  <c r="U15"/>
  <c r="T15"/>
  <c r="U13"/>
  <c r="T13"/>
  <c r="U11"/>
  <c r="T11"/>
  <c r="U9"/>
  <c r="T9"/>
  <c r="F25" i="9"/>
  <c r="K25" s="1"/>
  <c r="AS24" i="1"/>
  <c r="E25" i="9"/>
  <c r="AU24" i="1"/>
  <c r="AJ25"/>
  <c r="AM25" s="1"/>
  <c r="E26" i="9"/>
  <c r="AU25" i="1"/>
  <c r="F26" i="9"/>
  <c r="K26" s="1"/>
  <c r="AS25" i="1"/>
  <c r="AJ23"/>
  <c r="AM23" s="1"/>
  <c r="E24" i="9"/>
  <c r="AU23" i="1"/>
  <c r="F24" i="9"/>
  <c r="K24" s="1"/>
  <c r="AS23" i="1"/>
  <c r="AJ21"/>
  <c r="AM21" s="1"/>
  <c r="E22" i="9"/>
  <c r="F22"/>
  <c r="K22" s="1"/>
  <c r="AS21" i="1"/>
  <c r="E20" i="9"/>
  <c r="AU19" i="1"/>
  <c r="F20" i="9"/>
  <c r="K20" s="1"/>
  <c r="AS19" i="1"/>
  <c r="E18" i="9"/>
  <c r="AU17" i="1"/>
  <c r="F18" i="9"/>
  <c r="K18" s="1"/>
  <c r="AS17" i="1"/>
  <c r="F27" i="9"/>
  <c r="K27" s="1"/>
  <c r="AS26" i="1"/>
  <c r="E27" i="9"/>
  <c r="AU26" i="1"/>
  <c r="F23" i="9"/>
  <c r="K23" s="1"/>
  <c r="AS22" i="1"/>
  <c r="E23" i="9"/>
  <c r="AU22" i="1"/>
  <c r="F21" i="9"/>
  <c r="K21" s="1"/>
  <c r="AS20" i="1"/>
  <c r="E21" i="9"/>
  <c r="AU20" i="1"/>
  <c r="F19" i="9"/>
  <c r="K19" s="1"/>
  <c r="AS18" i="1"/>
  <c r="E19" i="9"/>
  <c r="AU18" i="1"/>
  <c r="F17" i="9"/>
  <c r="K17" s="1"/>
  <c r="AS16" i="1"/>
  <c r="E17" i="9"/>
  <c r="AU16" i="1"/>
  <c r="AS15"/>
  <c r="AU15"/>
  <c r="E16" i="9"/>
  <c r="F16"/>
  <c r="K16" s="1"/>
  <c r="F15"/>
  <c r="K15" s="1"/>
  <c r="AS14" i="1"/>
  <c r="E15" i="9"/>
  <c r="AU14" i="1"/>
  <c r="AS13"/>
  <c r="AU13"/>
  <c r="E14" i="9"/>
  <c r="F14"/>
  <c r="K14" s="1"/>
  <c r="AS12" i="1"/>
  <c r="AS11"/>
  <c r="AS10"/>
  <c r="AS8"/>
  <c r="R26"/>
  <c r="O27" i="2"/>
  <c r="K29" i="10" s="1"/>
  <c r="AQ26" i="1"/>
  <c r="AK26"/>
  <c r="R24"/>
  <c r="O25" i="2"/>
  <c r="K27" i="10" s="1"/>
  <c r="AQ24" i="1"/>
  <c r="AK24"/>
  <c r="R22"/>
  <c r="S23" i="2"/>
  <c r="L24" i="16" s="1"/>
  <c r="AC27" i="12" s="1"/>
  <c r="O23" i="2"/>
  <c r="K25" i="10" s="1"/>
  <c r="AQ22" i="1"/>
  <c r="AK22"/>
  <c r="AC20"/>
  <c r="E25" i="2"/>
  <c r="W25" i="1"/>
  <c r="W23"/>
  <c r="AE23" s="1"/>
  <c r="W21"/>
  <c r="X25"/>
  <c r="X23"/>
  <c r="X21"/>
  <c r="G27" i="2"/>
  <c r="I26"/>
  <c r="G25"/>
  <c r="I24"/>
  <c r="G23"/>
  <c r="I22"/>
  <c r="D26" i="3"/>
  <c r="D24"/>
  <c r="D22"/>
  <c r="AB25" i="1"/>
  <c r="AB23"/>
  <c r="AB21"/>
  <c r="Z25"/>
  <c r="Z23"/>
  <c r="Z21"/>
  <c r="AC25"/>
  <c r="AC23"/>
  <c r="AC21"/>
  <c r="AK25"/>
  <c r="R25"/>
  <c r="O26" i="2"/>
  <c r="K28" i="10" s="1"/>
  <c r="AQ25" i="1"/>
  <c r="AK23"/>
  <c r="R23"/>
  <c r="O24" i="2"/>
  <c r="K26" i="10" s="1"/>
  <c r="AQ23" i="1"/>
  <c r="AK21"/>
  <c r="R21"/>
  <c r="AQ21"/>
  <c r="E24" i="2"/>
  <c r="W26" i="1"/>
  <c r="W24"/>
  <c r="W22"/>
  <c r="X26"/>
  <c r="X24"/>
  <c r="X22"/>
  <c r="J29" i="10"/>
  <c r="J28"/>
  <c r="Z30" i="12" s="1"/>
  <c r="J27" i="10"/>
  <c r="Z29" i="12" s="1"/>
  <c r="J26" i="10"/>
  <c r="Z28" i="12" s="1"/>
  <c r="J25" i="10"/>
  <c r="Z27" i="12" s="1"/>
  <c r="J24" i="10"/>
  <c r="Z26" i="12" s="1"/>
  <c r="I27" i="2"/>
  <c r="G26"/>
  <c r="I25"/>
  <c r="G24"/>
  <c r="I23"/>
  <c r="G22"/>
  <c r="D27" i="3"/>
  <c r="D25"/>
  <c r="D23"/>
  <c r="AB26" i="1"/>
  <c r="AB24"/>
  <c r="AB22"/>
  <c r="Z26"/>
  <c r="Z24"/>
  <c r="Z22"/>
  <c r="AC26"/>
  <c r="AC24"/>
  <c r="AC22"/>
  <c r="AJ26"/>
  <c r="AM26" s="1"/>
  <c r="AJ24"/>
  <c r="AM24" s="1"/>
  <c r="AJ22"/>
  <c r="AM22" s="1"/>
  <c r="D19" i="3"/>
  <c r="D17"/>
  <c r="R7" i="1"/>
  <c r="S7" s="1"/>
  <c r="AK7"/>
  <c r="E21" i="2"/>
  <c r="W20" i="1"/>
  <c r="J23" i="10"/>
  <c r="Z25" i="12" s="1"/>
  <c r="I21" i="2"/>
  <c r="D21" i="3"/>
  <c r="AB20" i="1"/>
  <c r="R20"/>
  <c r="AK20"/>
  <c r="AQ20"/>
  <c r="X20"/>
  <c r="G21" i="2"/>
  <c r="Z20" i="1"/>
  <c r="AJ20"/>
  <c r="AM20" s="1"/>
  <c r="R19"/>
  <c r="AK19"/>
  <c r="R17"/>
  <c r="AK17"/>
  <c r="R15"/>
  <c r="AK15"/>
  <c r="R13"/>
  <c r="AK13"/>
  <c r="AK11"/>
  <c r="R11"/>
  <c r="S11" s="1"/>
  <c r="AK9"/>
  <c r="R9"/>
  <c r="S9" s="1"/>
  <c r="E18" i="2"/>
  <c r="W18" i="1"/>
  <c r="W16"/>
  <c r="X18"/>
  <c r="X16"/>
  <c r="J18" i="10"/>
  <c r="Z20" i="12" s="1"/>
  <c r="G20" i="2"/>
  <c r="V19"/>
  <c r="G18"/>
  <c r="G17"/>
  <c r="G16"/>
  <c r="AB19" i="1"/>
  <c r="AB17"/>
  <c r="AB15"/>
  <c r="Z19"/>
  <c r="Z17"/>
  <c r="Z15"/>
  <c r="AC19"/>
  <c r="AC17"/>
  <c r="AC15"/>
  <c r="AJ19"/>
  <c r="AM19" s="1"/>
  <c r="AJ17"/>
  <c r="AM17" s="1"/>
  <c r="AJ15"/>
  <c r="AM15" s="1"/>
  <c r="R18"/>
  <c r="AK18"/>
  <c r="R16"/>
  <c r="AK16"/>
  <c r="R14"/>
  <c r="AK14"/>
  <c r="AK12"/>
  <c r="R12"/>
  <c r="S12" s="1"/>
  <c r="AK10"/>
  <c r="R10"/>
  <c r="S10" s="1"/>
  <c r="AK8"/>
  <c r="R8"/>
  <c r="S8" s="1"/>
  <c r="E17" i="2"/>
  <c r="W19" i="1"/>
  <c r="W17"/>
  <c r="W15"/>
  <c r="X19"/>
  <c r="X17"/>
  <c r="X15"/>
  <c r="J22" i="10"/>
  <c r="Z24" i="12" s="1"/>
  <c r="J21" i="10"/>
  <c r="Z23" i="12" s="1"/>
  <c r="J20" i="10"/>
  <c r="Z22" i="12" s="1"/>
  <c r="J19" i="10"/>
  <c r="Z21" i="12" s="1"/>
  <c r="I20" i="2"/>
  <c r="G19"/>
  <c r="I18"/>
  <c r="I17"/>
  <c r="I16"/>
  <c r="D20" i="3"/>
  <c r="D18"/>
  <c r="D16"/>
  <c r="AB18" i="1"/>
  <c r="AB16"/>
  <c r="Z18"/>
  <c r="Z16"/>
  <c r="AC18"/>
  <c r="AC16"/>
  <c r="AJ18"/>
  <c r="AM18" s="1"/>
  <c r="AJ16"/>
  <c r="AM16" s="1"/>
  <c r="AU11"/>
  <c r="W13"/>
  <c r="W11"/>
  <c r="X13"/>
  <c r="X11"/>
  <c r="J17" i="10"/>
  <c r="Z19" i="12" s="1"/>
  <c r="J16" i="10"/>
  <c r="Z18" i="12" s="1"/>
  <c r="J15" i="10"/>
  <c r="Z17" i="12" s="1"/>
  <c r="J14" i="10"/>
  <c r="G14" i="2"/>
  <c r="G12"/>
  <c r="D15" i="3"/>
  <c r="D13"/>
  <c r="Z14" i="1"/>
  <c r="Z12"/>
  <c r="AC14"/>
  <c r="AC12"/>
  <c r="AJ14"/>
  <c r="AM14" s="1"/>
  <c r="AJ12"/>
  <c r="E15" i="2"/>
  <c r="W14" i="1"/>
  <c r="AE14" s="1"/>
  <c r="W12"/>
  <c r="X14"/>
  <c r="X12"/>
  <c r="G15" i="2"/>
  <c r="I14"/>
  <c r="G13"/>
  <c r="I12"/>
  <c r="D14" i="3"/>
  <c r="D12"/>
  <c r="Z13" i="1"/>
  <c r="Z11"/>
  <c r="AC13"/>
  <c r="AC11"/>
  <c r="AJ13"/>
  <c r="AM13" s="1"/>
  <c r="AJ11"/>
  <c r="W9"/>
  <c r="W7"/>
  <c r="X9"/>
  <c r="X7"/>
  <c r="J13" i="10"/>
  <c r="Z15" i="12" s="1"/>
  <c r="J12" i="10"/>
  <c r="AQ12" s="1"/>
  <c r="J11"/>
  <c r="AQ11" s="1"/>
  <c r="J10"/>
  <c r="Z12" i="12" s="1"/>
  <c r="V10" i="2"/>
  <c r="D11" i="3"/>
  <c r="D9"/>
  <c r="Z9" i="1"/>
  <c r="Z7"/>
  <c r="AC9"/>
  <c r="AC7"/>
  <c r="AJ9"/>
  <c r="AJ7"/>
  <c r="W10"/>
  <c r="W8"/>
  <c r="X10"/>
  <c r="X8"/>
  <c r="G11" i="2"/>
  <c r="G10"/>
  <c r="G9"/>
  <c r="D10" i="3"/>
  <c r="D8"/>
  <c r="Z10" i="1"/>
  <c r="Z8"/>
  <c r="AC10"/>
  <c r="AC8"/>
  <c r="AJ10"/>
  <c r="AJ8"/>
  <c r="AO12" i="10" l="1"/>
  <c r="AR12"/>
  <c r="AO11"/>
  <c r="AR11"/>
  <c r="AO13"/>
  <c r="AQ13"/>
  <c r="AR13"/>
  <c r="AQ15"/>
  <c r="AR15"/>
  <c r="AO10"/>
  <c r="AQ10"/>
  <c r="AR10" s="1"/>
  <c r="AO14"/>
  <c r="AR14"/>
  <c r="AQ14"/>
  <c r="AN15"/>
  <c r="AO15"/>
  <c r="AM13"/>
  <c r="AM14"/>
  <c r="Z14" i="12"/>
  <c r="N12" i="10"/>
  <c r="L12"/>
  <c r="AM12"/>
  <c r="L11"/>
  <c r="AM11"/>
  <c r="L15"/>
  <c r="AM15"/>
  <c r="L10"/>
  <c r="AM10"/>
  <c r="Z13" i="12"/>
  <c r="N11" i="10"/>
  <c r="Z16" i="12"/>
  <c r="BC13" i="14"/>
  <c r="BD13" s="1"/>
  <c r="BI13"/>
  <c r="BJ13" s="1"/>
  <c r="AT12"/>
  <c r="AV12" s="1"/>
  <c r="AW12" s="1"/>
  <c r="BF12"/>
  <c r="BC14"/>
  <c r="BD14" s="1"/>
  <c r="BI14"/>
  <c r="BJ14" s="1"/>
  <c r="U12" i="17"/>
  <c r="V13" i="7"/>
  <c r="W13" s="1"/>
  <c r="F13" s="1"/>
  <c r="U13" i="17"/>
  <c r="Q16" i="12"/>
  <c r="AT13" i="14"/>
  <c r="AV13" s="1"/>
  <c r="BF13"/>
  <c r="BG13" s="1"/>
  <c r="BH13" s="1"/>
  <c r="BC12"/>
  <c r="BD12" s="1"/>
  <c r="BI12"/>
  <c r="BJ12" s="1"/>
  <c r="AT14"/>
  <c r="AV14" s="1"/>
  <c r="BF14"/>
  <c r="BG14" s="1"/>
  <c r="BH14" s="1"/>
  <c r="AE12" i="1"/>
  <c r="BG12" i="14"/>
  <c r="BH12" s="1"/>
  <c r="V12" i="7"/>
  <c r="W12" s="1"/>
  <c r="F12" s="1"/>
  <c r="V11"/>
  <c r="W11" s="1"/>
  <c r="F11" s="1"/>
  <c r="S13" i="10" s="1"/>
  <c r="BB13" s="1"/>
  <c r="BC13" s="1"/>
  <c r="BD13" s="1"/>
  <c r="V10" i="7"/>
  <c r="W10" s="1"/>
  <c r="F10" s="1"/>
  <c r="V9"/>
  <c r="W9" s="1"/>
  <c r="F9" s="1"/>
  <c r="Q14" i="12"/>
  <c r="AS9" i="1"/>
  <c r="Q13" i="12"/>
  <c r="AT10" i="14"/>
  <c r="AV10" s="1"/>
  <c r="BF10"/>
  <c r="BG10" s="1"/>
  <c r="BH10" s="1"/>
  <c r="BC10"/>
  <c r="BD10" s="1"/>
  <c r="BI10"/>
  <c r="BJ10" s="1"/>
  <c r="BM16"/>
  <c r="BO16" s="1"/>
  <c r="BM17"/>
  <c r="BO17" s="1"/>
  <c r="BM19"/>
  <c r="BO19" s="1"/>
  <c r="BM23"/>
  <c r="BO23" s="1"/>
  <c r="BM25"/>
  <c r="BO25" s="1"/>
  <c r="BM27"/>
  <c r="BO27" s="1"/>
  <c r="BM20"/>
  <c r="BO20" s="1"/>
  <c r="BM28"/>
  <c r="BO28" s="1"/>
  <c r="BM18"/>
  <c r="BO18" s="1"/>
  <c r="BM26"/>
  <c r="BO26" s="1"/>
  <c r="BM14"/>
  <c r="BO14" s="1"/>
  <c r="BM15"/>
  <c r="BO15" s="1"/>
  <c r="BM21"/>
  <c r="BO21" s="1"/>
  <c r="BM24"/>
  <c r="BO24" s="1"/>
  <c r="BM22"/>
  <c r="BO22" s="1"/>
  <c r="AB10"/>
  <c r="AB11"/>
  <c r="AB16"/>
  <c r="AB15"/>
  <c r="AB17"/>
  <c r="AB12"/>
  <c r="AB9"/>
  <c r="AB14"/>
  <c r="AB13"/>
  <c r="Y22" i="1"/>
  <c r="Y26"/>
  <c r="AE13"/>
  <c r="AE15"/>
  <c r="AE19"/>
  <c r="AE22"/>
  <c r="AE26"/>
  <c r="BC9" i="14"/>
  <c r="BD9" s="1"/>
  <c r="BI9"/>
  <c r="BJ9" s="1"/>
  <c r="BN21"/>
  <c r="BN24"/>
  <c r="BN22"/>
  <c r="BN16"/>
  <c r="BN17"/>
  <c r="BN23"/>
  <c r="BN25"/>
  <c r="BN26"/>
  <c r="BN14"/>
  <c r="BN15"/>
  <c r="BN19"/>
  <c r="BN27"/>
  <c r="BN20"/>
  <c r="BN28"/>
  <c r="BN18"/>
  <c r="AT9"/>
  <c r="AV9" s="1"/>
  <c r="BF9"/>
  <c r="AT11"/>
  <c r="AV11" s="1"/>
  <c r="BF11"/>
  <c r="BG11" s="1"/>
  <c r="BD11"/>
  <c r="BI11"/>
  <c r="BJ11" s="1"/>
  <c r="AA9" i="1"/>
  <c r="R16" i="2"/>
  <c r="R20"/>
  <c r="R24"/>
  <c r="AE26" i="10" s="1"/>
  <c r="R19" i="2"/>
  <c r="R23"/>
  <c r="AE25" i="10" s="1"/>
  <c r="R27" i="2"/>
  <c r="AE29" i="10" s="1"/>
  <c r="U11" i="17"/>
  <c r="AA8" i="1"/>
  <c r="AA10"/>
  <c r="AE10"/>
  <c r="AE18"/>
  <c r="AE11"/>
  <c r="AE17"/>
  <c r="AE16"/>
  <c r="AE20"/>
  <c r="AE24"/>
  <c r="AE21"/>
  <c r="AE25"/>
  <c r="AE7"/>
  <c r="AE9"/>
  <c r="AE8"/>
  <c r="U9" i="17"/>
  <c r="O22" i="2"/>
  <c r="AB18" i="12"/>
  <c r="AB22"/>
  <c r="AB26"/>
  <c r="AB17"/>
  <c r="AB21"/>
  <c r="AB25"/>
  <c r="AB29"/>
  <c r="AB30"/>
  <c r="AB20"/>
  <c r="AB24"/>
  <c r="AB28"/>
  <c r="AB19"/>
  <c r="AB23"/>
  <c r="AB27"/>
  <c r="P15" i="17"/>
  <c r="L15"/>
  <c r="P21"/>
  <c r="L21"/>
  <c r="P24"/>
  <c r="L24"/>
  <c r="AE27" i="10"/>
  <c r="P20" i="17"/>
  <c r="L20"/>
  <c r="P22"/>
  <c r="L22"/>
  <c r="P26"/>
  <c r="L26"/>
  <c r="AB16" i="12"/>
  <c r="P17" i="17"/>
  <c r="L17"/>
  <c r="P18"/>
  <c r="L18"/>
  <c r="P25"/>
  <c r="L25"/>
  <c r="AE28" i="10"/>
  <c r="AN30" i="12"/>
  <c r="AO30" s="1"/>
  <c r="P19" i="17"/>
  <c r="L19"/>
  <c r="P23"/>
  <c r="L23"/>
  <c r="I28" i="14"/>
  <c r="P27" i="17"/>
  <c r="L27"/>
  <c r="AB15" i="12"/>
  <c r="U10" i="17"/>
  <c r="AB12" i="12"/>
  <c r="AB14"/>
  <c r="AB13"/>
  <c r="I16" i="14"/>
  <c r="I19" i="12"/>
  <c r="I19" i="14"/>
  <c r="I22" i="12"/>
  <c r="I22" i="14"/>
  <c r="I25" i="12"/>
  <c r="I25" i="14"/>
  <c r="I28" i="12"/>
  <c r="I21" i="14"/>
  <c r="I24" i="12"/>
  <c r="I23" i="14"/>
  <c r="I26" i="12"/>
  <c r="I27" i="14"/>
  <c r="I30" i="12"/>
  <c r="I18" i="14"/>
  <c r="I21" i="12"/>
  <c r="I26" i="14"/>
  <c r="I29" i="12"/>
  <c r="I20" i="14"/>
  <c r="I23" i="12"/>
  <c r="I24" i="14"/>
  <c r="I27" i="12"/>
  <c r="T24" i="16"/>
  <c r="S27" i="2"/>
  <c r="L28" i="16" s="1"/>
  <c r="T28" s="1"/>
  <c r="E13" i="9"/>
  <c r="F13"/>
  <c r="K13" s="1"/>
  <c r="AM12" i="1"/>
  <c r="AU10"/>
  <c r="F12" i="9"/>
  <c r="K12" s="1"/>
  <c r="E12"/>
  <c r="AM11" i="1"/>
  <c r="AM10"/>
  <c r="AM9"/>
  <c r="AM8"/>
  <c r="AM7"/>
  <c r="E14" i="2"/>
  <c r="V11"/>
  <c r="V13"/>
  <c r="V15"/>
  <c r="S24"/>
  <c r="L25" i="16" s="1"/>
  <c r="AC28" i="12" s="1"/>
  <c r="V24" i="2"/>
  <c r="L16" i="14"/>
  <c r="L18"/>
  <c r="L25"/>
  <c r="L19"/>
  <c r="L22"/>
  <c r="L26"/>
  <c r="L21"/>
  <c r="L23"/>
  <c r="L27"/>
  <c r="L20"/>
  <c r="L24"/>
  <c r="L28"/>
  <c r="E11" i="2"/>
  <c r="E13"/>
  <c r="E10"/>
  <c r="E9" i="9"/>
  <c r="AU12" i="1"/>
  <c r="R15" i="2"/>
  <c r="R9"/>
  <c r="R10"/>
  <c r="R11"/>
  <c r="V11" i="17" s="1"/>
  <c r="R12" i="2"/>
  <c r="L14" i="10" s="1"/>
  <c r="R14" i="2"/>
  <c r="R18"/>
  <c r="S22"/>
  <c r="L23" i="16" s="1"/>
  <c r="AC26" i="12" s="1"/>
  <c r="S26" i="2"/>
  <c r="L27" i="16" s="1"/>
  <c r="AC30" i="12" s="1"/>
  <c r="R13" i="2"/>
  <c r="V13" i="17" s="1"/>
  <c r="S21" i="2"/>
  <c r="L22" i="16" s="1"/>
  <c r="AC25" i="12" s="1"/>
  <c r="S25" i="2"/>
  <c r="L26" i="16" s="1"/>
  <c r="AC29" i="12" s="1"/>
  <c r="V9" i="2"/>
  <c r="V14"/>
  <c r="E16"/>
  <c r="V21"/>
  <c r="V23"/>
  <c r="V22"/>
  <c r="V26"/>
  <c r="I11"/>
  <c r="V14" i="12"/>
  <c r="I10" i="2"/>
  <c r="V15" i="12"/>
  <c r="I15" i="2"/>
  <c r="V21" i="12"/>
  <c r="V23"/>
  <c r="V26"/>
  <c r="V30"/>
  <c r="X27"/>
  <c r="V29"/>
  <c r="I13" i="2"/>
  <c r="V17" i="12"/>
  <c r="V19"/>
  <c r="V18"/>
  <c r="I19" i="2"/>
  <c r="V20" i="12"/>
  <c r="V22"/>
  <c r="V24"/>
  <c r="V25"/>
  <c r="V28"/>
  <c r="V27"/>
  <c r="V12"/>
  <c r="I9" i="2"/>
  <c r="V13" i="12"/>
  <c r="V16"/>
  <c r="AU21" i="1"/>
  <c r="K24" i="10"/>
  <c r="Y15" i="1"/>
  <c r="X20" i="12"/>
  <c r="Y19" i="1"/>
  <c r="X24" i="12"/>
  <c r="Y18" i="1"/>
  <c r="X23" i="12"/>
  <c r="Y21" i="1"/>
  <c r="X26" i="12"/>
  <c r="Y25" i="1"/>
  <c r="X30" i="12"/>
  <c r="Y24" i="1"/>
  <c r="X29" i="12"/>
  <c r="Y17" i="1"/>
  <c r="X22" i="12"/>
  <c r="Y16" i="1"/>
  <c r="X21" i="12"/>
  <c r="Y20" i="1"/>
  <c r="X25" i="12"/>
  <c r="Y23" i="1"/>
  <c r="X28" i="12"/>
  <c r="Y7" i="1"/>
  <c r="X12" i="12"/>
  <c r="Y12" i="1"/>
  <c r="X17" i="12"/>
  <c r="Y13" i="1"/>
  <c r="X18" i="12"/>
  <c r="Y10" i="1"/>
  <c r="X15" i="12"/>
  <c r="Y9" i="1"/>
  <c r="X14" i="12"/>
  <c r="Y14" i="1"/>
  <c r="X19" i="12"/>
  <c r="Y11" i="1"/>
  <c r="X16" i="12"/>
  <c r="Y8" i="1"/>
  <c r="X13" i="12"/>
  <c r="AN29"/>
  <c r="AO29" s="1"/>
  <c r="E11" i="9"/>
  <c r="F10"/>
  <c r="K10" s="1"/>
  <c r="E10"/>
  <c r="F11"/>
  <c r="K11" s="1"/>
  <c r="E9" i="2"/>
  <c r="F9" i="9"/>
  <c r="K9" s="1"/>
  <c r="S19" i="2"/>
  <c r="S18"/>
  <c r="S20"/>
  <c r="S17"/>
  <c r="E12"/>
  <c r="AI6" i="1"/>
  <c r="P11" i="13" l="1"/>
  <c r="L12"/>
  <c r="P9"/>
  <c r="L10"/>
  <c r="P10"/>
  <c r="L11"/>
  <c r="V13" i="10"/>
  <c r="AP13"/>
  <c r="AN10"/>
  <c r="AN12"/>
  <c r="AN14"/>
  <c r="AN11"/>
  <c r="AN13"/>
  <c r="L9" i="13"/>
  <c r="P8"/>
  <c r="L13" i="10"/>
  <c r="S14"/>
  <c r="BB14" s="1"/>
  <c r="BC14" s="1"/>
  <c r="BD14" s="1"/>
  <c r="BD30" s="1"/>
  <c r="V12" i="17"/>
  <c r="L15" i="14"/>
  <c r="BD29"/>
  <c r="BJ29"/>
  <c r="AN27" i="12"/>
  <c r="AO27" s="1"/>
  <c r="BH11" i="14"/>
  <c r="AN28" i="12"/>
  <c r="AO28" s="1"/>
  <c r="V9" i="17"/>
  <c r="AE24" i="10"/>
  <c r="P12" i="17"/>
  <c r="L12"/>
  <c r="P16"/>
  <c r="L16"/>
  <c r="P13"/>
  <c r="L13"/>
  <c r="P14"/>
  <c r="L14"/>
  <c r="P11"/>
  <c r="L11"/>
  <c r="AA20"/>
  <c r="AA19"/>
  <c r="AA17"/>
  <c r="AN26" i="12"/>
  <c r="AO26" s="1"/>
  <c r="AA18" i="17"/>
  <c r="AA22"/>
  <c r="P9"/>
  <c r="L9"/>
  <c r="P10"/>
  <c r="L10"/>
  <c r="V10"/>
  <c r="AQ17" i="1"/>
  <c r="L19" i="16"/>
  <c r="I11" i="14"/>
  <c r="I14" i="12"/>
  <c r="I14" i="14"/>
  <c r="I17" i="12"/>
  <c r="I12" i="14"/>
  <c r="I15" i="12"/>
  <c r="T25" i="16"/>
  <c r="T26"/>
  <c r="T22"/>
  <c r="AQ16" i="1"/>
  <c r="L18" i="16"/>
  <c r="I13" i="14"/>
  <c r="I16" i="12"/>
  <c r="AQ19" i="1"/>
  <c r="L21" i="16"/>
  <c r="AQ18" i="1"/>
  <c r="L20" i="16"/>
  <c r="I10" i="14"/>
  <c r="I13" i="12"/>
  <c r="I17" i="14"/>
  <c r="I20" i="12"/>
  <c r="I15" i="14"/>
  <c r="I18" i="12"/>
  <c r="T27" i="16"/>
  <c r="T23"/>
  <c r="L10" i="14"/>
  <c r="L17"/>
  <c r="L11"/>
  <c r="L14"/>
  <c r="L12"/>
  <c r="L13"/>
  <c r="F8" i="9"/>
  <c r="K8" s="1"/>
  <c r="E8"/>
  <c r="D4" i="3"/>
  <c r="AN30" i="10" l="1"/>
  <c r="V14"/>
  <c r="AP14"/>
  <c r="AP30" s="1"/>
  <c r="L31" s="1"/>
  <c r="AC23" i="12"/>
  <c r="T20" i="16"/>
  <c r="AC24" i="12"/>
  <c r="T21" i="16"/>
  <c r="AC21" i="12"/>
  <c r="T18" i="16"/>
  <c r="AC22" i="12"/>
  <c r="T19" i="16"/>
  <c r="D4" i="7"/>
  <c r="C4" i="9"/>
  <c r="B8" i="2"/>
  <c r="C8"/>
  <c r="D8"/>
  <c r="AD8" i="17"/>
  <c r="P8" i="2" l="1"/>
  <c r="S8" i="7" s="1"/>
  <c r="T8" s="1"/>
  <c r="J8" i="13"/>
  <c r="BE9" i="14"/>
  <c r="BG9" s="1"/>
  <c r="BH9" s="1"/>
  <c r="Q8" i="2"/>
  <c r="U9" i="14" s="1"/>
  <c r="V9" s="1"/>
  <c r="J12" i="12"/>
  <c r="J8" i="17"/>
  <c r="M10" i="10"/>
  <c r="M9"/>
  <c r="U8" i="2"/>
  <c r="AU7" i="1"/>
  <c r="T8" i="2"/>
  <c r="H26" i="9"/>
  <c r="Q26" s="1"/>
  <c r="J26" s="1"/>
  <c r="Y26" i="17"/>
  <c r="G26" i="3"/>
  <c r="H24" i="9"/>
  <c r="Q24" s="1"/>
  <c r="J24" s="1"/>
  <c r="Y24" i="17"/>
  <c r="G24" i="3"/>
  <c r="H22" i="9"/>
  <c r="Q22" s="1"/>
  <c r="J22" s="1"/>
  <c r="Y22" i="17"/>
  <c r="G22" i="3"/>
  <c r="AC27" i="17"/>
  <c r="AC28" i="14"/>
  <c r="Y27" i="17"/>
  <c r="G27" i="3"/>
  <c r="AC25" i="17"/>
  <c r="Y25"/>
  <c r="G25" i="3"/>
  <c r="AC23" i="17"/>
  <c r="Y23"/>
  <c r="G23" i="3"/>
  <c r="AC21" i="17"/>
  <c r="Y21"/>
  <c r="G21" i="3"/>
  <c r="AC19" i="17"/>
  <c r="Y19"/>
  <c r="G19" i="3"/>
  <c r="H20" i="9"/>
  <c r="Q20" s="1"/>
  <c r="J20" s="1"/>
  <c r="Y20" i="17"/>
  <c r="G20" i="3"/>
  <c r="H18" i="9"/>
  <c r="Q18" s="1"/>
  <c r="J18" s="1"/>
  <c r="Y18" i="17"/>
  <c r="G18" i="3"/>
  <c r="AC17" i="17"/>
  <c r="Y17"/>
  <c r="G17" i="3"/>
  <c r="Y16" i="17"/>
  <c r="Y12"/>
  <c r="Y10"/>
  <c r="Y14"/>
  <c r="Y15"/>
  <c r="Y13"/>
  <c r="Y9"/>
  <c r="H16" i="9"/>
  <c r="Q16" s="1"/>
  <c r="J16" s="1"/>
  <c r="G16" i="3"/>
  <c r="H14" i="9"/>
  <c r="Q14" s="1"/>
  <c r="J14" s="1"/>
  <c r="G14" i="3"/>
  <c r="H12" i="9"/>
  <c r="Q12" s="1"/>
  <c r="J12" s="1"/>
  <c r="G12" i="3"/>
  <c r="H10" i="9"/>
  <c r="Q10" s="1"/>
  <c r="J10" s="1"/>
  <c r="G10" i="3"/>
  <c r="AC15" i="17"/>
  <c r="G15" i="3"/>
  <c r="AC13" i="17"/>
  <c r="G13" i="3"/>
  <c r="AC11" i="17"/>
  <c r="G11" i="3"/>
  <c r="AC9" i="17"/>
  <c r="G9" i="3"/>
  <c r="AC8" i="17"/>
  <c r="Y8"/>
  <c r="G8" i="3"/>
  <c r="J7" i="2"/>
  <c r="G7" i="3"/>
  <c r="H7" i="9"/>
  <c r="Q7" s="1"/>
  <c r="AC7" i="17"/>
  <c r="H27" i="9"/>
  <c r="Q27" s="1"/>
  <c r="J27" s="1"/>
  <c r="H25"/>
  <c r="Q25" s="1"/>
  <c r="J25" s="1"/>
  <c r="H23"/>
  <c r="Q23" s="1"/>
  <c r="J23" s="1"/>
  <c r="H21"/>
  <c r="Q21" s="1"/>
  <c r="J21" s="1"/>
  <c r="H19"/>
  <c r="Q19" s="1"/>
  <c r="J19" s="1"/>
  <c r="H17"/>
  <c r="Q17" s="1"/>
  <c r="J17" s="1"/>
  <c r="H15"/>
  <c r="Q15" s="1"/>
  <c r="J15" s="1"/>
  <c r="H13"/>
  <c r="Q13" s="1"/>
  <c r="J13" s="1"/>
  <c r="H11"/>
  <c r="Q11" s="1"/>
  <c r="J11" s="1"/>
  <c r="H8"/>
  <c r="Q8" s="1"/>
  <c r="J8" s="1"/>
  <c r="AC26" i="17"/>
  <c r="AC24"/>
  <c r="AC22"/>
  <c r="AC20"/>
  <c r="AC18"/>
  <c r="AC16"/>
  <c r="AC14"/>
  <c r="AC12"/>
  <c r="AC10"/>
  <c r="H9" i="9"/>
  <c r="Q9" s="1"/>
  <c r="J9" s="1"/>
  <c r="A14" i="2"/>
  <c r="A15"/>
  <c r="A16"/>
  <c r="A17"/>
  <c r="A18"/>
  <c r="A19"/>
  <c r="A20"/>
  <c r="A21"/>
  <c r="A22"/>
  <c r="A23"/>
  <c r="A24"/>
  <c r="A25"/>
  <c r="AC9" i="14" l="1"/>
  <c r="N10" i="10"/>
  <c r="AA11" i="12"/>
  <c r="N9" i="10"/>
  <c r="N30" s="1"/>
  <c r="V8" i="7"/>
  <c r="W8" s="1"/>
  <c r="F8" s="1"/>
  <c r="AS7" i="1"/>
  <c r="AA7"/>
  <c r="Q12" i="12"/>
  <c r="U8" i="17"/>
  <c r="AA12" i="12"/>
  <c r="Y12"/>
  <c r="T13"/>
  <c r="Q9" i="17"/>
  <c r="T19" i="12"/>
  <c r="Q15" i="17"/>
  <c r="T14" i="12"/>
  <c r="Q10" i="17"/>
  <c r="T20" i="12"/>
  <c r="Q16" i="17"/>
  <c r="T21" i="12"/>
  <c r="Q17" i="17"/>
  <c r="T24" i="12"/>
  <c r="Q20" i="17"/>
  <c r="T25" i="12"/>
  <c r="Q21" i="17"/>
  <c r="T29" i="12"/>
  <c r="Q25" i="17"/>
  <c r="T28" i="12"/>
  <c r="Q24" i="17"/>
  <c r="T17" i="12"/>
  <c r="Q13" i="17"/>
  <c r="T18" i="12"/>
  <c r="Q14" i="17"/>
  <c r="T16" i="12"/>
  <c r="Q12" i="17"/>
  <c r="T22" i="12"/>
  <c r="Q18" i="17"/>
  <c r="T23" i="12"/>
  <c r="Q19" i="17"/>
  <c r="T27" i="12"/>
  <c r="Q23" i="17"/>
  <c r="Q27"/>
  <c r="T26" i="12"/>
  <c r="Q22" i="17"/>
  <c r="T30" i="12"/>
  <c r="Q26" i="17"/>
  <c r="T11" i="12"/>
  <c r="Q7" i="17"/>
  <c r="Y7"/>
  <c r="Y11" i="12"/>
  <c r="AC8" i="14"/>
  <c r="T12" i="12"/>
  <c r="Q8" i="17"/>
  <c r="W16" i="12"/>
  <c r="BN13" i="14"/>
  <c r="W24" i="12"/>
  <c r="BQ21" i="14"/>
  <c r="BR21" s="1"/>
  <c r="W11" i="12"/>
  <c r="W12"/>
  <c r="BN9" i="14"/>
  <c r="W13" i="12"/>
  <c r="BN10" i="14"/>
  <c r="W15" i="12"/>
  <c r="BN12" i="14"/>
  <c r="W17" i="12"/>
  <c r="BQ14" i="14"/>
  <c r="BR14" s="1"/>
  <c r="W19" i="12"/>
  <c r="BQ16" i="14"/>
  <c r="BR16" s="1"/>
  <c r="Y13" i="12"/>
  <c r="AA13"/>
  <c r="AC10" i="14"/>
  <c r="AW14"/>
  <c r="AW16"/>
  <c r="Y18" i="12"/>
  <c r="AC15" i="14"/>
  <c r="AA18" i="12"/>
  <c r="Y14"/>
  <c r="AC11" i="14"/>
  <c r="AA14" i="12"/>
  <c r="AC13" i="14"/>
  <c r="AA16" i="12"/>
  <c r="Y20"/>
  <c r="AC17" i="14"/>
  <c r="AA20" i="12"/>
  <c r="Y21"/>
  <c r="AA21"/>
  <c r="AC18" i="14"/>
  <c r="Y22" i="12"/>
  <c r="AC19" i="14"/>
  <c r="AA22" i="12"/>
  <c r="Y24"/>
  <c r="AC21" i="14"/>
  <c r="AA24" i="12"/>
  <c r="Y23"/>
  <c r="AA23"/>
  <c r="AC20" i="14"/>
  <c r="Y25" i="12"/>
  <c r="AA25"/>
  <c r="AC22" i="14"/>
  <c r="Y27" i="12"/>
  <c r="AA27"/>
  <c r="AC24" i="14"/>
  <c r="Y29" i="12"/>
  <c r="AA29"/>
  <c r="AC26" i="14"/>
  <c r="Y26" i="12"/>
  <c r="AC23" i="14"/>
  <c r="AA26" i="12"/>
  <c r="Y28"/>
  <c r="AC25" i="14"/>
  <c r="AA28" i="12"/>
  <c r="Y30"/>
  <c r="AC27" i="14"/>
  <c r="AA30" i="12"/>
  <c r="W20"/>
  <c r="BQ17" i="14"/>
  <c r="BR17" s="1"/>
  <c r="W28" i="12"/>
  <c r="BQ25" i="14"/>
  <c r="BR25" s="1"/>
  <c r="W14" i="12"/>
  <c r="BN11" i="14"/>
  <c r="W18" i="12"/>
  <c r="BQ15" i="14"/>
  <c r="BR15" s="1"/>
  <c r="W22" i="12"/>
  <c r="BQ19" i="14"/>
  <c r="BR19" s="1"/>
  <c r="W26" i="12"/>
  <c r="BQ23" i="14"/>
  <c r="BR23" s="1"/>
  <c r="W30" i="12"/>
  <c r="BQ27" i="14"/>
  <c r="BR27" s="1"/>
  <c r="Q7" i="13"/>
  <c r="X7"/>
  <c r="AW9" i="14"/>
  <c r="AW10"/>
  <c r="Y15" i="12"/>
  <c r="AA15"/>
  <c r="AC12" i="14"/>
  <c r="Y17" i="12"/>
  <c r="AA17"/>
  <c r="AC14" i="14"/>
  <c r="Y19" i="12"/>
  <c r="AA19"/>
  <c r="AC16" i="14"/>
  <c r="AW15"/>
  <c r="AW11"/>
  <c r="AW13"/>
  <c r="AW17"/>
  <c r="AW18"/>
  <c r="W21" i="12"/>
  <c r="BQ18" i="14"/>
  <c r="BR18" s="1"/>
  <c r="AW19"/>
  <c r="AW21"/>
  <c r="AW20"/>
  <c r="W23" i="12"/>
  <c r="BQ20" i="14"/>
  <c r="BR20" s="1"/>
  <c r="AW22"/>
  <c r="W25" i="12"/>
  <c r="BQ22" i="14"/>
  <c r="BR22" s="1"/>
  <c r="AW24"/>
  <c r="W27" i="12"/>
  <c r="BQ24" i="14"/>
  <c r="BR24" s="1"/>
  <c r="AW26"/>
  <c r="W29" i="12"/>
  <c r="BQ26" i="14"/>
  <c r="BR26" s="1"/>
  <c r="AW28"/>
  <c r="BQ28"/>
  <c r="BR28" s="1"/>
  <c r="AW23"/>
  <c r="AW25"/>
  <c r="AW27"/>
  <c r="R8" i="2"/>
  <c r="Y16" i="12"/>
  <c r="D7" i="2"/>
  <c r="P7" l="1"/>
  <c r="S7" i="7" s="1"/>
  <c r="Q7" i="2"/>
  <c r="BQ8" i="14"/>
  <c r="BR8" s="1"/>
  <c r="BA27"/>
  <c r="BA28"/>
  <c r="BA20"/>
  <c r="BA18"/>
  <c r="BA11"/>
  <c r="BA10"/>
  <c r="BA23"/>
  <c r="BA19"/>
  <c r="BA24"/>
  <c r="BA25"/>
  <c r="BA15"/>
  <c r="BA16"/>
  <c r="BA26"/>
  <c r="BA22"/>
  <c r="BA21"/>
  <c r="BA17"/>
  <c r="BA9"/>
  <c r="BA14"/>
  <c r="BA13"/>
  <c r="AO19"/>
  <c r="AQ19"/>
  <c r="AQ13"/>
  <c r="AO13"/>
  <c r="AQ8"/>
  <c r="AO8"/>
  <c r="AQ27"/>
  <c r="AO27"/>
  <c r="AQ28"/>
  <c r="AO28"/>
  <c r="AO24"/>
  <c r="AQ24"/>
  <c r="AQ20"/>
  <c r="AO20"/>
  <c r="AQ18"/>
  <c r="AO18"/>
  <c r="AQ11"/>
  <c r="AO11"/>
  <c r="AQ10"/>
  <c r="AO10"/>
  <c r="AQ25"/>
  <c r="AO25"/>
  <c r="AQ15"/>
  <c r="AO15"/>
  <c r="AO16"/>
  <c r="AQ16"/>
  <c r="AQ23"/>
  <c r="AO23"/>
  <c r="AQ26"/>
  <c r="AO26"/>
  <c r="AQ22"/>
  <c r="AO22"/>
  <c r="AQ21"/>
  <c r="AO21"/>
  <c r="AQ17"/>
  <c r="AO17"/>
  <c r="AQ14"/>
  <c r="AO14"/>
  <c r="AQ9"/>
  <c r="AO9"/>
  <c r="V8" i="17"/>
  <c r="J11" i="12"/>
  <c r="J7" i="17"/>
  <c r="J7" i="13"/>
  <c r="A7" i="2"/>
  <c r="T6" i="1"/>
  <c r="C7" i="9"/>
  <c r="C7" i="7"/>
  <c r="G9" i="10"/>
  <c r="N21" i="1"/>
  <c r="A34" i="9"/>
  <c r="A32"/>
  <c r="B35" i="7"/>
  <c r="B36" i="3"/>
  <c r="B34"/>
  <c r="S16" i="2"/>
  <c r="C7"/>
  <c r="E7" i="7"/>
  <c r="G7" s="1"/>
  <c r="Y7" i="13" s="1"/>
  <c r="AE8" i="14" s="1"/>
  <c r="AG8" s="1"/>
  <c r="D7" i="7"/>
  <c r="F9" i="10"/>
  <c r="E9"/>
  <c r="B7" i="9"/>
  <c r="A7"/>
  <c r="A26" i="2"/>
  <c r="A27"/>
  <c r="B7" i="7"/>
  <c r="A7"/>
  <c r="B7" i="2"/>
  <c r="B7" i="3"/>
  <c r="A7"/>
  <c r="T7" i="7" l="1"/>
  <c r="F7" s="1"/>
  <c r="Z7" i="13" s="1"/>
  <c r="BE8" i="14"/>
  <c r="U7" i="13"/>
  <c r="V7" s="1"/>
  <c r="V7" i="7"/>
  <c r="W7" s="1"/>
  <c r="BQ11" i="14"/>
  <c r="BR11" s="1"/>
  <c r="BL11"/>
  <c r="BM11" s="1"/>
  <c r="BO11" s="1"/>
  <c r="BQ13"/>
  <c r="BR13" s="1"/>
  <c r="BL13"/>
  <c r="BM13" s="1"/>
  <c r="BO13" s="1"/>
  <c r="BQ12"/>
  <c r="BR12" s="1"/>
  <c r="BL12"/>
  <c r="BM12" s="1"/>
  <c r="BO12" s="1"/>
  <c r="BQ10"/>
  <c r="BR10" s="1"/>
  <c r="BL10"/>
  <c r="BM10" s="1"/>
  <c r="BO10" s="1"/>
  <c r="AR8"/>
  <c r="AS8" s="1"/>
  <c r="BQ9"/>
  <c r="BR9" s="1"/>
  <c r="BL9"/>
  <c r="AO29"/>
  <c r="AQ29"/>
  <c r="BK8"/>
  <c r="BL8" s="1"/>
  <c r="AB7" i="17"/>
  <c r="W7"/>
  <c r="K8" i="16"/>
  <c r="S8" s="1"/>
  <c r="AQ15" i="1"/>
  <c r="L17" i="16"/>
  <c r="U11" i="12"/>
  <c r="N11"/>
  <c r="Q11" s="1"/>
  <c r="U9"/>
  <c r="W7" i="13"/>
  <c r="X8" i="14"/>
  <c r="AY8" s="1"/>
  <c r="F7" i="2"/>
  <c r="R11" i="12"/>
  <c r="R6" i="1"/>
  <c r="P7" i="9" s="1"/>
  <c r="J9" i="10"/>
  <c r="T7" i="2"/>
  <c r="T28" s="1"/>
  <c r="U7"/>
  <c r="U28" s="1"/>
  <c r="AK6" i="1"/>
  <c r="AK30" s="1"/>
  <c r="S15" i="2"/>
  <c r="AB14" i="1"/>
  <c r="S13" i="2"/>
  <c r="AB12" i="1"/>
  <c r="S11" i="2"/>
  <c r="AB10" i="1"/>
  <c r="S14" i="2"/>
  <c r="AB13" i="1"/>
  <c r="S12" i="2"/>
  <c r="AB11" i="1"/>
  <c r="S9" i="2"/>
  <c r="AB8" i="1"/>
  <c r="Z6"/>
  <c r="AJ6"/>
  <c r="X6"/>
  <c r="S10" i="2"/>
  <c r="AB9" i="1"/>
  <c r="S8" i="2"/>
  <c r="AB7" i="1"/>
  <c r="AN25"/>
  <c r="AN23"/>
  <c r="AN21"/>
  <c r="AN26"/>
  <c r="AF26"/>
  <c r="AN24"/>
  <c r="AN22"/>
  <c r="AN20"/>
  <c r="E8" i="2"/>
  <c r="L8" i="13" s="1"/>
  <c r="E21" i="3"/>
  <c r="E19"/>
  <c r="E17"/>
  <c r="E15"/>
  <c r="D7"/>
  <c r="W6" i="1"/>
  <c r="AE6" s="1"/>
  <c r="AE30" s="1"/>
  <c r="G8" i="2"/>
  <c r="I8" s="1"/>
  <c r="V8"/>
  <c r="E14" i="3"/>
  <c r="E22"/>
  <c r="E20"/>
  <c r="E18"/>
  <c r="E16"/>
  <c r="G7" i="2"/>
  <c r="Q6" i="1"/>
  <c r="Q25"/>
  <c r="Q23"/>
  <c r="Q21"/>
  <c r="Q19"/>
  <c r="Q17"/>
  <c r="Q15"/>
  <c r="Q13"/>
  <c r="Q11"/>
  <c r="N12" i="13" s="1"/>
  <c r="Q9" i="1"/>
  <c r="N10" i="13" s="1"/>
  <c r="Q7" i="1"/>
  <c r="N8" i="13" s="1"/>
  <c r="Q26" i="1"/>
  <c r="Q24"/>
  <c r="Q22"/>
  <c r="Q20"/>
  <c r="Q18"/>
  <c r="Q16"/>
  <c r="Q14"/>
  <c r="Q12"/>
  <c r="Q10"/>
  <c r="N11" i="13" s="1"/>
  <c r="Q8" i="1"/>
  <c r="N9" i="13" s="1"/>
  <c r="Z11" i="12" l="1"/>
  <c r="AQ9" i="10"/>
  <c r="AR9" s="1"/>
  <c r="AR30" s="1"/>
  <c r="L30" s="1"/>
  <c r="H35" s="1"/>
  <c r="BR29" i="14"/>
  <c r="AI29" s="1"/>
  <c r="BF8"/>
  <c r="BG8" s="1"/>
  <c r="BH8" s="1"/>
  <c r="BH29" s="1"/>
  <c r="AC29" s="1"/>
  <c r="AT8"/>
  <c r="AV8" s="1"/>
  <c r="AW8" s="1"/>
  <c r="AW29" s="1"/>
  <c r="V29" s="1"/>
  <c r="BM8"/>
  <c r="BO8" s="1"/>
  <c r="AB8"/>
  <c r="BM9"/>
  <c r="BO9" s="1"/>
  <c r="BN8"/>
  <c r="AA6" i="1"/>
  <c r="U8" i="14"/>
  <c r="V8" s="1"/>
  <c r="R29"/>
  <c r="L9"/>
  <c r="P7" i="13"/>
  <c r="L8" i="14"/>
  <c r="BA8"/>
  <c r="BA29" s="1"/>
  <c r="AA29" s="1"/>
  <c r="I11" i="17"/>
  <c r="N11"/>
  <c r="AS6" i="1"/>
  <c r="AS30" s="1"/>
  <c r="I13" i="17"/>
  <c r="N13"/>
  <c r="I21"/>
  <c r="N21"/>
  <c r="N15"/>
  <c r="I15"/>
  <c r="N19"/>
  <c r="I19"/>
  <c r="N23"/>
  <c r="I23"/>
  <c r="N27"/>
  <c r="I27"/>
  <c r="I8"/>
  <c r="N8"/>
  <c r="N12"/>
  <c r="I12"/>
  <c r="N16"/>
  <c r="I16"/>
  <c r="N20"/>
  <c r="I20"/>
  <c r="N24"/>
  <c r="I24"/>
  <c r="I9"/>
  <c r="N9"/>
  <c r="N17"/>
  <c r="I17"/>
  <c r="N25"/>
  <c r="I25"/>
  <c r="N14"/>
  <c r="I14"/>
  <c r="N18"/>
  <c r="I18"/>
  <c r="N22"/>
  <c r="I22"/>
  <c r="N26"/>
  <c r="I26"/>
  <c r="U7"/>
  <c r="AA30" i="1"/>
  <c r="I10" i="17"/>
  <c r="N10"/>
  <c r="N7"/>
  <c r="I7"/>
  <c r="P8"/>
  <c r="L8"/>
  <c r="AB11" i="12"/>
  <c r="I9" i="14"/>
  <c r="I12" i="12"/>
  <c r="AQ7" i="1"/>
  <c r="L9" i="16"/>
  <c r="AQ9" i="1"/>
  <c r="L11" i="16"/>
  <c r="AQ8" i="1"/>
  <c r="L10" i="16"/>
  <c r="AQ11" i="1"/>
  <c r="L13" i="16"/>
  <c r="AQ13" i="1"/>
  <c r="L15" i="16"/>
  <c r="AQ10" i="1"/>
  <c r="L12" i="16"/>
  <c r="AQ12" i="1"/>
  <c r="L14" i="16"/>
  <c r="AQ14" i="1"/>
  <c r="L16" i="16"/>
  <c r="AC20" i="12"/>
  <c r="T17" i="16"/>
  <c r="AM6" i="1"/>
  <c r="AN6" s="1"/>
  <c r="AO6" s="1"/>
  <c r="AU6"/>
  <c r="AU30" s="1"/>
  <c r="V7" i="2"/>
  <c r="V28" s="1"/>
  <c r="I29" s="1"/>
  <c r="I27" i="13"/>
  <c r="R7" i="2"/>
  <c r="O17"/>
  <c r="K19" i="10" s="1"/>
  <c r="I17" i="13"/>
  <c r="O21" i="2"/>
  <c r="K23" i="10" s="1"/>
  <c r="I21" i="13"/>
  <c r="K20" i="10"/>
  <c r="I18" i="13"/>
  <c r="I26"/>
  <c r="O19" i="2"/>
  <c r="K21" i="10" s="1"/>
  <c r="I19" i="13"/>
  <c r="I23"/>
  <c r="O16" i="2"/>
  <c r="I16" i="13"/>
  <c r="O20" i="2"/>
  <c r="K22" i="10" s="1"/>
  <c r="I20" i="13"/>
  <c r="I24"/>
  <c r="I25"/>
  <c r="I22"/>
  <c r="I13"/>
  <c r="I10"/>
  <c r="I11"/>
  <c r="I15"/>
  <c r="I14"/>
  <c r="O8" i="2"/>
  <c r="I8" i="13"/>
  <c r="I7" i="2"/>
  <c r="I9" i="13"/>
  <c r="N7"/>
  <c r="I7"/>
  <c r="V11" i="12"/>
  <c r="I12" i="13"/>
  <c r="O11" i="2"/>
  <c r="O12"/>
  <c r="O13"/>
  <c r="O10"/>
  <c r="O15"/>
  <c r="O9"/>
  <c r="Y6" i="1"/>
  <c r="Y30" s="1"/>
  <c r="X11" i="12"/>
  <c r="O14" i="2"/>
  <c r="S6" i="1"/>
  <c r="AO23"/>
  <c r="E25" i="3"/>
  <c r="E24"/>
  <c r="AO24" i="1"/>
  <c r="AD26"/>
  <c r="AO21"/>
  <c r="AO25"/>
  <c r="E23" i="3"/>
  <c r="E27"/>
  <c r="E26"/>
  <c r="AO20" i="1"/>
  <c r="AO22"/>
  <c r="AO26"/>
  <c r="AB6"/>
  <c r="S7" i="2"/>
  <c r="L8" i="16" s="1"/>
  <c r="AC11" i="12" s="1"/>
  <c r="E12" i="3"/>
  <c r="E8"/>
  <c r="AN10" i="1"/>
  <c r="AO10" s="1"/>
  <c r="AN12"/>
  <c r="AO12" s="1"/>
  <c r="AN14"/>
  <c r="AO14" s="1"/>
  <c r="AN16"/>
  <c r="AO16" s="1"/>
  <c r="AN18"/>
  <c r="AO18" s="1"/>
  <c r="AN7"/>
  <c r="AO7" s="1"/>
  <c r="AN9"/>
  <c r="AO9" s="1"/>
  <c r="AN8"/>
  <c r="AO8" s="1"/>
  <c r="AN11"/>
  <c r="AO11" s="1"/>
  <c r="AN13"/>
  <c r="AO13" s="1"/>
  <c r="AN15"/>
  <c r="AO15" s="1"/>
  <c r="AN17"/>
  <c r="AO17" s="1"/>
  <c r="AN19"/>
  <c r="AO19" s="1"/>
  <c r="AF7"/>
  <c r="AF8"/>
  <c r="AF21"/>
  <c r="AD21"/>
  <c r="AF23"/>
  <c r="AD23"/>
  <c r="AF25"/>
  <c r="AD25"/>
  <c r="AF22"/>
  <c r="AD22"/>
  <c r="AF24"/>
  <c r="AD24"/>
  <c r="AF18"/>
  <c r="AF20"/>
  <c r="AF17"/>
  <c r="AF19"/>
  <c r="AD18"/>
  <c r="AD20"/>
  <c r="AD17"/>
  <c r="AD19"/>
  <c r="E10" i="3"/>
  <c r="AF10" i="1"/>
  <c r="AF12"/>
  <c r="AF14"/>
  <c r="AF16"/>
  <c r="AF9"/>
  <c r="AF11"/>
  <c r="AF13"/>
  <c r="AF15"/>
  <c r="AD10"/>
  <c r="AD12"/>
  <c r="AD14"/>
  <c r="AD16"/>
  <c r="AD9"/>
  <c r="AD11"/>
  <c r="AD13"/>
  <c r="AD15"/>
  <c r="V31"/>
  <c r="E9" i="3"/>
  <c r="E13"/>
  <c r="O7" i="2"/>
  <c r="L9" i="10" l="1"/>
  <c r="AO9"/>
  <c r="AO30" s="1"/>
  <c r="L32" s="1"/>
  <c r="H36" s="1"/>
  <c r="BO29" i="14"/>
  <c r="AG29" s="1"/>
  <c r="K9" i="10"/>
  <c r="AE9" s="1"/>
  <c r="F34" i="14"/>
  <c r="AT32" i="1"/>
  <c r="H32" s="1"/>
  <c r="AF6"/>
  <c r="AN24" i="12"/>
  <c r="AO24" s="1"/>
  <c r="AE22" i="10"/>
  <c r="AE21"/>
  <c r="AN23" i="12"/>
  <c r="AO23" s="1"/>
  <c r="AE23" i="10"/>
  <c r="AN25" i="12"/>
  <c r="AO25" s="1"/>
  <c r="AE20" i="10"/>
  <c r="AN22" i="12"/>
  <c r="AO22" s="1"/>
  <c r="AE19" i="10"/>
  <c r="AN21" i="12"/>
  <c r="AO21" s="1"/>
  <c r="V7" i="17"/>
  <c r="AA14"/>
  <c r="AA16"/>
  <c r="T8" i="16"/>
  <c r="AC19" i="12"/>
  <c r="T16" i="16"/>
  <c r="AC17" i="12"/>
  <c r="T14" i="16"/>
  <c r="AC15" i="12"/>
  <c r="T12" i="16"/>
  <c r="AC18" i="12"/>
  <c r="T15" i="16"/>
  <c r="AC16" i="12"/>
  <c r="T13" i="16"/>
  <c r="AC13" i="12"/>
  <c r="T10" i="16"/>
  <c r="AC14" i="12"/>
  <c r="T11" i="16"/>
  <c r="AC12" i="12"/>
  <c r="T9" i="16"/>
  <c r="K18" i="10"/>
  <c r="K16"/>
  <c r="AD6" i="1"/>
  <c r="E7" i="9"/>
  <c r="J7" s="1"/>
  <c r="G30" s="1"/>
  <c r="F7"/>
  <c r="K7" s="1"/>
  <c r="AQ6" i="1"/>
  <c r="AQ30" s="1"/>
  <c r="H31" s="1"/>
  <c r="K13" i="10"/>
  <c r="K17"/>
  <c r="K14"/>
  <c r="K15"/>
  <c r="K12"/>
  <c r="K11"/>
  <c r="K10"/>
  <c r="AD7" i="1"/>
  <c r="AD8"/>
  <c r="E11" i="3"/>
  <c r="AO30" i="1"/>
  <c r="AF30"/>
  <c r="E7" i="3"/>
  <c r="E7" i="2"/>
  <c r="H34" i="16" l="1"/>
  <c r="H33" i="1"/>
  <c r="AN17" i="12"/>
  <c r="AO17" s="1"/>
  <c r="AE15" i="10"/>
  <c r="AE14"/>
  <c r="AN16" i="12"/>
  <c r="AO16" s="1"/>
  <c r="AN18"/>
  <c r="AO18" s="1"/>
  <c r="AE16" i="10"/>
  <c r="AN20" i="12"/>
  <c r="AO20" s="1"/>
  <c r="AE18" i="10"/>
  <c r="AE10"/>
  <c r="AE11"/>
  <c r="AE12"/>
  <c r="AN14" i="12"/>
  <c r="AO14" s="1"/>
  <c r="AE17" i="10"/>
  <c r="AN19" i="12"/>
  <c r="AO19" s="1"/>
  <c r="AE13" i="10"/>
  <c r="AN15" i="12"/>
  <c r="AO15" s="1"/>
  <c r="AA13" i="17"/>
  <c r="AA15"/>
  <c r="AA11"/>
  <c r="AA7"/>
  <c r="I11" i="12"/>
  <c r="P7" i="17"/>
  <c r="L7"/>
  <c r="AA8"/>
  <c r="AA9"/>
  <c r="AA10"/>
  <c r="L7" i="13"/>
  <c r="I8" i="14"/>
  <c r="F32" i="3"/>
  <c r="I31" i="2"/>
  <c r="H34" i="1"/>
  <c r="AD30"/>
  <c r="H34" i="14" l="1"/>
  <c r="AA12" i="17" l="1"/>
  <c r="V11" i="10" l="1"/>
  <c r="V30" s="1"/>
</calcChain>
</file>

<file path=xl/comments1.xml><?xml version="1.0" encoding="utf-8"?>
<comments xmlns="http://schemas.openxmlformats.org/spreadsheetml/2006/main">
  <authors>
    <author>zhuravel-iv</author>
  </authors>
  <commentList>
    <comment ref="A17" authorId="0">
      <text>
        <r>
          <rPr>
            <b/>
            <sz val="8"/>
            <color indexed="81"/>
            <rFont val="Tahoma"/>
            <family val="2"/>
            <charset val="204"/>
          </rPr>
          <t>zhuravel-iv: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zhuravel-iv</author>
  </authors>
  <commentList>
    <comment ref="Z30" authorId="0">
      <text>
        <r>
          <rPr>
            <b/>
            <sz val="8"/>
            <color indexed="81"/>
            <rFont val="Tahoma"/>
            <family val="2"/>
            <charset val="204"/>
          </rPr>
          <t>zhuravel-iv: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<sst xmlns="http://schemas.openxmlformats.org/spreadsheetml/2006/main" count="803" uniqueCount="403">
  <si>
    <t>Тип клапана</t>
  </si>
  <si>
    <t>Размер</t>
  </si>
  <si>
    <t>H</t>
  </si>
  <si>
    <t>b</t>
  </si>
  <si>
    <t>Заказ №</t>
  </si>
  <si>
    <t>Кол-во</t>
  </si>
  <si>
    <t>кол-во</t>
  </si>
  <si>
    <t>L</t>
  </si>
  <si>
    <t>Стенка верт-ая</t>
  </si>
  <si>
    <t>+</t>
  </si>
  <si>
    <t>№ б.з/ заказа</t>
  </si>
  <si>
    <t>Длина</t>
  </si>
  <si>
    <t>Ширина</t>
  </si>
  <si>
    <t>B</t>
  </si>
  <si>
    <t>число лопаток</t>
  </si>
  <si>
    <t>Стенка гор-ая ОЦ 1,5</t>
  </si>
  <si>
    <t>Лента уплотнительная</t>
  </si>
  <si>
    <t>Регуляр</t>
  </si>
  <si>
    <t>Кожух</t>
  </si>
  <si>
    <t>Шаг</t>
  </si>
  <si>
    <t xml:space="preserve">Кожух                        ОЦ 0,7 </t>
  </si>
  <si>
    <t>Ширина развертки мм</t>
  </si>
  <si>
    <t>мм</t>
  </si>
  <si>
    <t>шаг регуляр</t>
  </si>
  <si>
    <t>Шаг герм П</t>
  </si>
  <si>
    <t>Шаг герм С</t>
  </si>
  <si>
    <t>A</t>
  </si>
  <si>
    <t xml:space="preserve">Развертка </t>
  </si>
  <si>
    <t>С</t>
  </si>
  <si>
    <t>П</t>
  </si>
  <si>
    <t>Л</t>
  </si>
  <si>
    <t>Н</t>
  </si>
  <si>
    <t>В</t>
  </si>
  <si>
    <t>сечение клапана</t>
  </si>
  <si>
    <t>Срок</t>
  </si>
  <si>
    <t>Кол-во стенок / кол-во рубов (для рег-ров)</t>
  </si>
  <si>
    <t>Trumatic 2000R</t>
  </si>
  <si>
    <t>Стенка Гор-ая</t>
  </si>
  <si>
    <t>Материал</t>
  </si>
  <si>
    <t>герм</t>
  </si>
  <si>
    <t>регуляр</t>
  </si>
  <si>
    <t>Выполнил</t>
  </si>
  <si>
    <t>______________________________________</t>
  </si>
  <si>
    <t>_____________________________</t>
  </si>
  <si>
    <t>-</t>
  </si>
  <si>
    <t>нерж</t>
  </si>
  <si>
    <t>оц</t>
  </si>
  <si>
    <t>взр</t>
  </si>
  <si>
    <t>краш</t>
  </si>
  <si>
    <t>стенка гермик</t>
  </si>
  <si>
    <t>кожух гермик</t>
  </si>
  <si>
    <t>Лента</t>
  </si>
  <si>
    <t>регуляр (без лопатки)</t>
  </si>
  <si>
    <t>Лопатка регуляр</t>
  </si>
  <si>
    <t>пробивка отв в пружине</t>
  </si>
  <si>
    <t>Шторка</t>
  </si>
  <si>
    <t>Сумма</t>
  </si>
  <si>
    <t>Вырубка</t>
  </si>
  <si>
    <t>____________________________</t>
  </si>
  <si>
    <t>Гибка</t>
  </si>
  <si>
    <t>__________________</t>
  </si>
  <si>
    <t>часа</t>
  </si>
  <si>
    <t>Трудоем для верт стен</t>
  </si>
  <si>
    <t>Трудоем для гор стен</t>
  </si>
  <si>
    <t>Ст гор</t>
  </si>
  <si>
    <t>лента</t>
  </si>
  <si>
    <t>упор</t>
  </si>
  <si>
    <t>Углоруб</t>
  </si>
  <si>
    <t>материал</t>
  </si>
  <si>
    <t xml:space="preserve">Накладная№ 
</t>
  </si>
  <si>
    <t>кол-во лопаток</t>
  </si>
  <si>
    <t>резка лоп</t>
  </si>
  <si>
    <t>Резка лопатки</t>
  </si>
  <si>
    <t>Сборка рег</t>
  </si>
  <si>
    <t>сборка</t>
  </si>
  <si>
    <t>сборка герм</t>
  </si>
  <si>
    <t>В.В. Данилов</t>
  </si>
  <si>
    <t>Мастер_______________________________</t>
  </si>
  <si>
    <t>Рубка</t>
  </si>
  <si>
    <t>ч.</t>
  </si>
  <si>
    <t xml:space="preserve">Накладная№ </t>
  </si>
  <si>
    <t>стен герм</t>
  </si>
  <si>
    <t>Кожух герм</t>
  </si>
  <si>
    <t>Регуляры</t>
  </si>
  <si>
    <t>Сопророводительная №</t>
  </si>
  <si>
    <t>Задание выполнено полностью</t>
  </si>
  <si>
    <t>_________________</t>
  </si>
  <si>
    <t>Гибка        _________________</t>
  </si>
  <si>
    <t>Мастер     _________________</t>
  </si>
  <si>
    <t>675X1135</t>
  </si>
  <si>
    <t>1000X600</t>
  </si>
  <si>
    <t>1000X1000</t>
  </si>
  <si>
    <t>1000X500</t>
  </si>
  <si>
    <t>1000X800</t>
  </si>
  <si>
    <t>100X100</t>
  </si>
  <si>
    <t>100X150</t>
  </si>
  <si>
    <t>100X200</t>
  </si>
  <si>
    <t>1075X1135</t>
  </si>
  <si>
    <t>1075X810</t>
  </si>
  <si>
    <t>1075X837</t>
  </si>
  <si>
    <t>1100X1000</t>
  </si>
  <si>
    <t>1110X1125</t>
  </si>
  <si>
    <t>1155X500</t>
  </si>
  <si>
    <t>1180X625</t>
  </si>
  <si>
    <t>1200X1000</t>
  </si>
  <si>
    <t>1200X1100_2</t>
  </si>
  <si>
    <t>1200X600</t>
  </si>
  <si>
    <t>150X100</t>
  </si>
  <si>
    <t>150X150</t>
  </si>
  <si>
    <t>150X200</t>
  </si>
  <si>
    <t>150X400</t>
  </si>
  <si>
    <t>160X160</t>
  </si>
  <si>
    <t>200X100</t>
  </si>
  <si>
    <t>200X150</t>
  </si>
  <si>
    <t>200X200</t>
  </si>
  <si>
    <t>200X250</t>
  </si>
  <si>
    <t>200X300</t>
  </si>
  <si>
    <t>200X400</t>
  </si>
  <si>
    <t>200X500</t>
  </si>
  <si>
    <t>205X205</t>
  </si>
  <si>
    <t>210X210</t>
  </si>
  <si>
    <t>250X100</t>
  </si>
  <si>
    <t>250X150</t>
  </si>
  <si>
    <t>250X200</t>
  </si>
  <si>
    <t>250X250</t>
  </si>
  <si>
    <t>250X300</t>
  </si>
  <si>
    <t>250X400</t>
  </si>
  <si>
    <t>288X288</t>
  </si>
  <si>
    <t>300X150</t>
  </si>
  <si>
    <t>300X200</t>
  </si>
  <si>
    <t>300X300</t>
  </si>
  <si>
    <t>300X400</t>
  </si>
  <si>
    <t>300X450</t>
  </si>
  <si>
    <t>300X500</t>
  </si>
  <si>
    <t>310X865</t>
  </si>
  <si>
    <t>320X320</t>
  </si>
  <si>
    <t>325X1175</t>
  </si>
  <si>
    <t>325X300</t>
  </si>
  <si>
    <t>325X575</t>
  </si>
  <si>
    <t>325X575_EXP</t>
  </si>
  <si>
    <t>325X875</t>
  </si>
  <si>
    <t>350X800</t>
  </si>
  <si>
    <t>400X1000</t>
  </si>
  <si>
    <t>400X200</t>
  </si>
  <si>
    <t>400X250</t>
  </si>
  <si>
    <t>400X300</t>
  </si>
  <si>
    <t>400X400</t>
  </si>
  <si>
    <t>400X500</t>
  </si>
  <si>
    <t>400X600</t>
  </si>
  <si>
    <t>400X700</t>
  </si>
  <si>
    <t>400X800</t>
  </si>
  <si>
    <t>410X410</t>
  </si>
  <si>
    <t>435X575</t>
  </si>
  <si>
    <t>435X875</t>
  </si>
  <si>
    <t>450X500</t>
  </si>
  <si>
    <t>475X1135</t>
  </si>
  <si>
    <t>475X875</t>
  </si>
  <si>
    <t>500X1000</t>
  </si>
  <si>
    <t>500X1155</t>
  </si>
  <si>
    <t>500X250</t>
  </si>
  <si>
    <t>500X400</t>
  </si>
  <si>
    <t>500X500</t>
  </si>
  <si>
    <t>500X700</t>
  </si>
  <si>
    <t>500X800</t>
  </si>
  <si>
    <t>525X1175</t>
  </si>
  <si>
    <t>525X1475</t>
  </si>
  <si>
    <t>525X575</t>
  </si>
  <si>
    <t>525X875</t>
  </si>
  <si>
    <t>575X325</t>
  </si>
  <si>
    <t>575X475</t>
  </si>
  <si>
    <t>575X525</t>
  </si>
  <si>
    <t>600X1000</t>
  </si>
  <si>
    <t>600X400</t>
  </si>
  <si>
    <t>600X500</t>
  </si>
  <si>
    <t>600X600</t>
  </si>
  <si>
    <t>600X800</t>
  </si>
  <si>
    <t>625X1135</t>
  </si>
  <si>
    <t>625X837</t>
  </si>
  <si>
    <t>640X500</t>
  </si>
  <si>
    <t>650X650</t>
  </si>
  <si>
    <t>675X325</t>
  </si>
  <si>
    <t>700X1017</t>
  </si>
  <si>
    <t>700X400</t>
  </si>
  <si>
    <t>700X700</t>
  </si>
  <si>
    <t>700X952</t>
  </si>
  <si>
    <t>765X1135</t>
  </si>
  <si>
    <t>800X1000</t>
  </si>
  <si>
    <t>800X350</t>
  </si>
  <si>
    <t>800X400</t>
  </si>
  <si>
    <t>800X500</t>
  </si>
  <si>
    <t>800X600</t>
  </si>
  <si>
    <t>800X700</t>
  </si>
  <si>
    <t>800X800</t>
  </si>
  <si>
    <t>800X900</t>
  </si>
  <si>
    <t>815X875</t>
  </si>
  <si>
    <t>875X325</t>
  </si>
  <si>
    <t>875X475</t>
  </si>
  <si>
    <t>900X1350</t>
  </si>
  <si>
    <t>900X1350_2</t>
  </si>
  <si>
    <t>925X475</t>
  </si>
  <si>
    <t>превый столбец-сечение</t>
  </si>
  <si>
    <t>второй столбец-время</t>
  </si>
  <si>
    <t>сечение</t>
  </si>
  <si>
    <t>Х</t>
  </si>
  <si>
    <t>время</t>
  </si>
  <si>
    <t>Труматик</t>
  </si>
  <si>
    <t>Примечание</t>
  </si>
  <si>
    <t>Талон для отрыва диспетчеру (ВОЗДУШНЫЕ КЛАПАНЫ)</t>
  </si>
  <si>
    <t>общее</t>
  </si>
  <si>
    <t>Трудоемкость</t>
  </si>
  <si>
    <t>Рубка н/ч</t>
  </si>
  <si>
    <t>Гибка н/ч</t>
  </si>
  <si>
    <t>Рубка-ножницы</t>
  </si>
  <si>
    <t>_____________(дата)</t>
  </si>
  <si>
    <t>Кожух Гермик-С   ВМ 0113.00.00.006</t>
  </si>
  <si>
    <t>Упор (шторка) Гермик ВГ 111.00.00.003</t>
  </si>
  <si>
    <t>Стр. 4/6</t>
  </si>
  <si>
    <t>Подпись исполнителя</t>
  </si>
  <si>
    <t>Кол-во выполненных деталей Trumatic 2000R</t>
  </si>
  <si>
    <t>Кол-во выполненных деталей на гибке</t>
  </si>
  <si>
    <t>Кол-во выполненных деталей на рубке</t>
  </si>
  <si>
    <t>Стр. 6/6</t>
  </si>
  <si>
    <t>Стр. 3/6</t>
  </si>
  <si>
    <t>Стр. 2/6</t>
  </si>
  <si>
    <t>Стр. 1/6</t>
  </si>
  <si>
    <t xml:space="preserve">Комплектовочный лист </t>
  </si>
  <si>
    <t xml:space="preserve">Накладная </t>
  </si>
  <si>
    <t>№</t>
  </si>
  <si>
    <t>Исполнение</t>
  </si>
  <si>
    <t>Кол-во  комплектов</t>
  </si>
  <si>
    <t>Кожух         Гермик-С</t>
  </si>
  <si>
    <t>А</t>
  </si>
  <si>
    <t xml:space="preserve">Упор  </t>
  </si>
  <si>
    <t>Исполняемый файл</t>
  </si>
  <si>
    <t>N раз</t>
  </si>
  <si>
    <t>Лист X*Y</t>
  </si>
  <si>
    <t>Итого:</t>
  </si>
  <si>
    <t>Сопроводительный лист</t>
  </si>
  <si>
    <t>Маш. Время</t>
  </si>
  <si>
    <t>Дата</t>
  </si>
  <si>
    <t>Оператор ________________</t>
  </si>
  <si>
    <t>Задание закрыл (мастер)</t>
  </si>
  <si>
    <t>Участок TRUMPF</t>
  </si>
  <si>
    <t>Дата ___________</t>
  </si>
  <si>
    <t xml:space="preserve">Задание на гибку  деталей. TruBend </t>
  </si>
  <si>
    <t>Корпус</t>
  </si>
  <si>
    <t>Номер чертежа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</si>
  <si>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</si>
  <si>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</si>
  <si>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</si>
  <si>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</si>
  <si>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</si>
  <si>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</si>
  <si>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</si>
  <si>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</si>
  <si>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</si>
  <si>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</si>
  <si>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</si>
  <si>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</si>
  <si>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</si>
  <si>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</si>
  <si>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</si>
  <si>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Кол-во дет.</t>
  </si>
  <si>
    <t xml:space="preserve">Участок TruBend </t>
  </si>
  <si>
    <t xml:space="preserve">Стенка вертикальная  </t>
  </si>
  <si>
    <t xml:space="preserve">Упор </t>
  </si>
  <si>
    <t xml:space="preserve">   Стенка вертикальная Регуляр ВГ 050. 00.00.001                                                                    Стенка горизонтальная  Регуляр  ВГ 050.00.00.002                                                                  </t>
  </si>
  <si>
    <r>
      <t xml:space="preserve">Стенка горизонтальная Гермик </t>
    </r>
    <r>
      <rPr>
        <b/>
        <strike/>
        <sz val="14"/>
        <rFont val="Calibri"/>
        <family val="2"/>
        <charset val="204"/>
        <scheme val="minor"/>
      </rPr>
      <t>ВМ 0113.01.00.002</t>
    </r>
  </si>
  <si>
    <t>Кол-во  лопаток в 1 клапане</t>
  </si>
  <si>
    <t>Кол-во  лопаток всего</t>
  </si>
  <si>
    <t>Лопатка Регуляр</t>
  </si>
  <si>
    <t>Лопатка Гермик</t>
  </si>
  <si>
    <t>монт. планка</t>
  </si>
  <si>
    <t>Пила Gamma</t>
  </si>
  <si>
    <t>Ножницы Fasti</t>
  </si>
  <si>
    <t>Монтажная планка ОЦ 1,5</t>
  </si>
  <si>
    <t>Участок Fasti</t>
  </si>
  <si>
    <t>Монтажная планка</t>
  </si>
  <si>
    <t>ОЦ 0,7</t>
  </si>
  <si>
    <t xml:space="preserve"> </t>
  </si>
  <si>
    <t>СОПРОВОДИТЕЛЬНЫЙ ЛИСТ №</t>
  </si>
  <si>
    <t>Комплектовочный лист</t>
  </si>
  <si>
    <t>Оператор _____________________     Дата______________________</t>
  </si>
  <si>
    <t>Задание закрыл (мастер)_______________________Дата__________________</t>
  </si>
  <si>
    <t>Сопроводительный лист №</t>
  </si>
  <si>
    <t>Задание сформировал (диспетчер) _________________________________________</t>
  </si>
  <si>
    <t>Программы подготовил _______________________________________</t>
  </si>
  <si>
    <t xml:space="preserve">СОПРОВОДИТЕЛЬНЫЙ ЛИСТ №  </t>
  </si>
  <si>
    <t>Сопроводительный лист  №</t>
  </si>
  <si>
    <t>Оператор _________________ ____________(дата)</t>
  </si>
  <si>
    <t>Задание закрыл (мастер)___________</t>
  </si>
  <si>
    <t>Дата____________</t>
  </si>
  <si>
    <t>Дата_____________</t>
  </si>
  <si>
    <t>Комплектовочный лист №</t>
  </si>
  <si>
    <t>х</t>
  </si>
  <si>
    <t>Участок Fasti/Trumbend</t>
  </si>
  <si>
    <t>Монтажная планка                    ОЦ 1,5</t>
  </si>
  <si>
    <t>16.</t>
  </si>
  <si>
    <t>17.</t>
  </si>
  <si>
    <t>18.</t>
  </si>
  <si>
    <t>19.</t>
  </si>
  <si>
    <t>20.</t>
  </si>
  <si>
    <t>21.</t>
  </si>
  <si>
    <t>Участок  Fasti/Trumbend</t>
  </si>
  <si>
    <t>Задание сформировал (диспетчер)____________________  (дата)______</t>
  </si>
  <si>
    <t>Сумма:</t>
  </si>
  <si>
    <t>Рубка всего  н/ч</t>
  </si>
  <si>
    <t>КОМПЛЕКТОВОЧНЫЙ ЛИСТ №</t>
  </si>
  <si>
    <t xml:space="preserve">Задание на вырубку  деталей. Trumpf </t>
  </si>
  <si>
    <t>Лопатка</t>
  </si>
  <si>
    <t>Задание на Gamma</t>
  </si>
  <si>
    <t>Резка н/ч</t>
  </si>
  <si>
    <t>Участок Gamma</t>
  </si>
  <si>
    <t>Применяемость</t>
  </si>
  <si>
    <t>Кожух Гермик-С</t>
  </si>
  <si>
    <t xml:space="preserve">Лента уплотнительная </t>
  </si>
  <si>
    <t>Стенка вертикальная</t>
  </si>
  <si>
    <t>Стенка горизонтальная</t>
  </si>
  <si>
    <t xml:space="preserve">Стенка горизонтальная  </t>
  </si>
  <si>
    <t>Стенка       вертикальная</t>
  </si>
  <si>
    <t>Стенка        горизонтальная</t>
  </si>
  <si>
    <t>Количество  лопаток</t>
  </si>
  <si>
    <t>Лента уплотнительная   (Лента ДПРНО 0,3Х60)</t>
  </si>
  <si>
    <t>Количество клапанов</t>
  </si>
  <si>
    <t>Операция:</t>
  </si>
  <si>
    <t>(Исполнитель\Дата)</t>
  </si>
  <si>
    <t>Оператор</t>
  </si>
  <si>
    <t>(_______________/_____________________)</t>
  </si>
  <si>
    <t>Полоса ДПРНТ 1,5х15</t>
  </si>
  <si>
    <t>Гибка     (___________/______________)</t>
  </si>
  <si>
    <t>Резка</t>
  </si>
  <si>
    <t xml:space="preserve">Комплектовщик заготовительного участка :       Сдал:  ____________________ Дата_______________   </t>
  </si>
  <si>
    <t>Принял:____________________Дата_______________</t>
  </si>
  <si>
    <t xml:space="preserve">Комплектовщик сборочного участка :      </t>
  </si>
  <si>
    <r>
      <rPr>
        <sz val="20"/>
        <color theme="1"/>
        <rFont val="Calibri"/>
        <family val="2"/>
        <charset val="204"/>
        <scheme val="minor"/>
      </rPr>
      <t>Упор</t>
    </r>
    <r>
      <rPr>
        <sz val="18"/>
        <color theme="1"/>
        <rFont val="Calibri"/>
        <family val="2"/>
        <charset val="204"/>
        <scheme val="minor"/>
      </rPr>
      <t xml:space="preserve">                        ОЦ 1,5</t>
    </r>
  </si>
  <si>
    <t>Программист</t>
  </si>
  <si>
    <t>Вертикальный</t>
  </si>
  <si>
    <t>Горизонтальный</t>
  </si>
  <si>
    <t>Привод</t>
  </si>
  <si>
    <t>гибов</t>
  </si>
  <si>
    <t>&lt;2000</t>
  </si>
  <si>
    <t>&gt;=2000</t>
  </si>
  <si>
    <t>0,55..1,0</t>
  </si>
  <si>
    <t>1,0..2,0</t>
  </si>
  <si>
    <t>&gt;2</t>
  </si>
  <si>
    <t>норма на гибку</t>
  </si>
  <si>
    <t>норма на резку</t>
  </si>
  <si>
    <t>l&lt;2000</t>
  </si>
  <si>
    <t>l&gt;=2000</t>
  </si>
  <si>
    <t>L=500</t>
  </si>
  <si>
    <t>L=1000</t>
  </si>
  <si>
    <t>L=1500</t>
  </si>
  <si>
    <t>L=2000</t>
  </si>
  <si>
    <t>L=2500</t>
  </si>
  <si>
    <t>&lt;0,55</t>
  </si>
  <si>
    <t>толщина</t>
  </si>
  <si>
    <t>трудоемкость гиба и реза у нержавейки = ОЦ*1,2</t>
  </si>
  <si>
    <t>k</t>
  </si>
  <si>
    <t>0,7-1</t>
  </si>
  <si>
    <t>норма</t>
  </si>
  <si>
    <t>нормы</t>
  </si>
  <si>
    <t>"(B3-160)/140"</t>
  </si>
  <si>
    <t>b4</t>
  </si>
  <si>
    <t>b5</t>
  </si>
  <si>
    <t>гермик</t>
  </si>
  <si>
    <t>Пробивка отв Регуляр</t>
  </si>
  <si>
    <t>норма на ленту</t>
  </si>
  <si>
    <t>Норма на пробивку Регуляр</t>
  </si>
  <si>
    <t>Норма на упор</t>
  </si>
  <si>
    <t>Тяга</t>
  </si>
  <si>
    <t>норма на шт</t>
  </si>
  <si>
    <t>-----</t>
  </si>
  <si>
    <t>Лопатка общая</t>
  </si>
  <si>
    <t>Гермик Кол-во отв в ленте</t>
  </si>
  <si>
    <t>Регуляр кол-во отв в ленте</t>
  </si>
  <si>
    <t xml:space="preserve">Норма на пробивку </t>
  </si>
  <si>
    <t>Пробивка отв на один клап</t>
  </si>
  <si>
    <t>Количество мест_____________________</t>
  </si>
  <si>
    <t>Количество лопаток на Гермик</t>
  </si>
  <si>
    <t>Упор Гермик</t>
  </si>
  <si>
    <t>Упор Регуляр</t>
  </si>
  <si>
    <t>Количество лопаток на Регуляр</t>
  </si>
  <si>
    <t>Клапана гнуть по новой документации</t>
  </si>
  <si>
    <t>Масса изделия    (кг)</t>
  </si>
  <si>
    <t>гермик\регуляр</t>
  </si>
  <si>
    <t>Упоры  1,5 Л63Р ГОСТ 2208-2007</t>
  </si>
  <si>
    <t xml:space="preserve"> Лента уплотнительная ДПРНО 0,3х60 НД БрКМц 3-1 ГОСТ 4748-92  (мм) (общая длина)</t>
  </si>
  <si>
    <t>Деление латунного упора</t>
  </si>
  <si>
    <t>L упора</t>
  </si>
  <si>
    <t>Кол-во (шт)</t>
  </si>
  <si>
    <t>Пробивка отверстий</t>
  </si>
  <si>
    <t>Норма на гибку ленты</t>
  </si>
  <si>
    <t>Норма на гибку упора</t>
  </si>
  <si>
    <t>Рубка ленты</t>
  </si>
  <si>
    <t>Рубка ленты и упора</t>
  </si>
  <si>
    <t>Гибка всего  н/ч</t>
  </si>
  <si>
    <t>Гибка ленты и упора</t>
  </si>
  <si>
    <t>Норма  на ленту гибка</t>
  </si>
  <si>
    <t>Переменная ленты рубка</t>
  </si>
  <si>
    <t>H (толщина)</t>
  </si>
  <si>
    <t>Норма на резку упоров</t>
  </si>
  <si>
    <t>ГЕРМИК</t>
  </si>
  <si>
    <t>РЕГУЛЯР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</si>
</sst>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rgb="FF000000"/>
      <name val="Times New Roman"/>
      <family val="1"/>
      <charset val="204"/>
    </font>
    <font>
      <b/>
      <strike/>
      <sz val="14"/>
      <color theme="1"/>
      <name val="Calibri"/>
      <family val="2"/>
      <charset val="204"/>
      <scheme val="minor"/>
    </font>
    <font>
      <b/>
      <strike/>
      <sz val="1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u/>
      <sz val="18"/>
      <color rgb="FF000000"/>
      <name val="Times New Roman"/>
      <family val="1"/>
      <charset val="204"/>
    </font>
    <font>
      <sz val="72"/>
      <color theme="1"/>
      <name val="Calibri"/>
      <family val="2"/>
      <charset val="204"/>
      <scheme val="minor"/>
    </font>
    <font>
      <b/>
      <sz val="72"/>
      <name val="Arial Cyr"/>
      <charset val="204"/>
    </font>
    <font>
      <b/>
      <sz val="7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26"/>
      <color rgb="FF000000"/>
      <name val="Times New Roman"/>
      <family val="1"/>
      <charset val="204"/>
    </font>
    <font>
      <b/>
      <sz val="48"/>
      <name val="Arial Cyr"/>
      <charset val="204"/>
    </font>
    <font>
      <b/>
      <sz val="48"/>
      <color theme="1"/>
      <name val="Calibri"/>
      <family val="2"/>
      <charset val="204"/>
      <scheme val="minor"/>
    </font>
    <font>
      <b/>
      <u/>
      <sz val="48"/>
      <color theme="1"/>
      <name val="Calibri"/>
      <family val="2"/>
      <charset val="204"/>
      <scheme val="minor"/>
    </font>
    <font>
      <b/>
      <sz val="17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17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17" fillId="2" borderId="9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17" fillId="2" borderId="1" xfId="0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9" xfId="0" applyBorder="1"/>
    <xf numFmtId="0" fontId="15" fillId="0" borderId="21" xfId="0" applyFont="1" applyBorder="1" applyAlignment="1" applyProtection="1">
      <alignment horizontal="center" vertical="center" wrapText="1"/>
      <protection locked="0"/>
    </xf>
    <xf numFmtId="0" fontId="15" fillId="0" borderId="22" xfId="0" applyFont="1" applyBorder="1" applyAlignment="1" applyProtection="1">
      <alignment horizontal="center" vertical="center" wrapText="1"/>
      <protection locked="0"/>
    </xf>
    <xf numFmtId="0" fontId="15" fillId="0" borderId="23" xfId="0" applyFont="1" applyBorder="1" applyAlignment="1" applyProtection="1">
      <alignment horizontal="center" vertical="center" wrapText="1"/>
      <protection locked="0"/>
    </xf>
    <xf numFmtId="0" fontId="15" fillId="0" borderId="24" xfId="0" applyFont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 applyBorder="1"/>
    <xf numFmtId="0" fontId="0" fillId="0" borderId="19" xfId="0" applyBorder="1" applyAlignment="1"/>
    <xf numFmtId="0" fontId="0" fillId="0" borderId="26" xfId="0" applyBorder="1" applyAlignment="1"/>
    <xf numFmtId="0" fontId="0" fillId="0" borderId="24" xfId="0" applyBorder="1" applyAlignment="1">
      <alignment horizontal="center"/>
    </xf>
    <xf numFmtId="0" fontId="0" fillId="0" borderId="32" xfId="0" applyBorder="1"/>
    <xf numFmtId="0" fontId="21" fillId="2" borderId="24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6" xfId="0" applyBorder="1"/>
    <xf numFmtId="0" fontId="2" fillId="0" borderId="0" xfId="0" applyFont="1"/>
    <xf numFmtId="0" fontId="0" fillId="0" borderId="32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14" fontId="6" fillId="0" borderId="0" xfId="0" applyNumberFormat="1" applyFont="1" applyAlignment="1"/>
    <xf numFmtId="14" fontId="6" fillId="0" borderId="0" xfId="0" applyNumberFormat="1" applyFont="1" applyAlignme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Border="1" applyAlignment="1">
      <alignment textRotation="90"/>
    </xf>
    <xf numFmtId="0" fontId="3" fillId="0" borderId="0" xfId="0" applyFont="1" applyBorder="1" applyAlignment="1">
      <alignment horizontal="center"/>
    </xf>
    <xf numFmtId="0" fontId="26" fillId="0" borderId="0" xfId="0" applyFont="1" applyBorder="1"/>
    <xf numFmtId="0" fontId="4" fillId="0" borderId="0" xfId="0" applyFont="1" applyAlignment="1">
      <alignment textRotation="90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vertical="justify"/>
    </xf>
    <xf numFmtId="0" fontId="7" fillId="0" borderId="0" xfId="0" applyFont="1" applyAlignment="1">
      <alignment vertical="justify"/>
    </xf>
    <xf numFmtId="0" fontId="3" fillId="0" borderId="32" xfId="0" applyFont="1" applyBorder="1" applyAlignment="1"/>
    <xf numFmtId="0" fontId="0" fillId="0" borderId="0" xfId="0" applyAlignment="1">
      <alignment horizontal="center"/>
    </xf>
    <xf numFmtId="0" fontId="17" fillId="2" borderId="24" xfId="0" applyFont="1" applyFill="1" applyBorder="1" applyAlignment="1">
      <alignment vertical="center" wrapText="1"/>
    </xf>
    <xf numFmtId="0" fontId="0" fillId="0" borderId="40" xfId="0" applyBorder="1"/>
    <xf numFmtId="0" fontId="0" fillId="0" borderId="23" xfId="0" applyBorder="1"/>
    <xf numFmtId="0" fontId="0" fillId="0" borderId="24" xfId="0" applyBorder="1"/>
    <xf numFmtId="0" fontId="2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9" xfId="0" applyBorder="1"/>
    <xf numFmtId="0" fontId="0" fillId="0" borderId="38" xfId="0" applyBorder="1"/>
    <xf numFmtId="0" fontId="0" fillId="0" borderId="28" xfId="0" applyBorder="1" applyAlignment="1">
      <alignment horizontal="center"/>
    </xf>
    <xf numFmtId="0" fontId="21" fillId="2" borderId="8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 wrapText="1"/>
    </xf>
    <xf numFmtId="0" fontId="34" fillId="0" borderId="0" xfId="0" applyFont="1"/>
    <xf numFmtId="164" fontId="0" fillId="0" borderId="20" xfId="0" applyNumberFormat="1" applyBorder="1" applyAlignmen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/>
    <xf numFmtId="0" fontId="16" fillId="0" borderId="0" xfId="0" applyFont="1" applyBorder="1" applyAlignment="1">
      <alignment wrapText="1"/>
    </xf>
    <xf numFmtId="0" fontId="0" fillId="3" borderId="0" xfId="0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0" borderId="18" xfId="0" applyFont="1" applyBorder="1"/>
    <xf numFmtId="0" fontId="3" fillId="0" borderId="0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21" fillId="2" borderId="4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/>
    <xf numFmtId="2" fontId="0" fillId="0" borderId="0" xfId="0" applyNumberFormat="1"/>
    <xf numFmtId="2" fontId="8" fillId="0" borderId="18" xfId="0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5" fillId="0" borderId="0" xfId="0" applyFont="1" applyAlignment="1">
      <alignment horizontal="left"/>
    </xf>
    <xf numFmtId="0" fontId="36" fillId="0" borderId="0" xfId="0" applyFon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2" xfId="0" applyFont="1" applyBorder="1" applyAlignment="1" applyProtection="1">
      <alignment horizontal="center" vertical="center" textRotation="90" wrapText="1"/>
      <protection locked="0"/>
    </xf>
    <xf numFmtId="0" fontId="21" fillId="2" borderId="22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24" xfId="0" applyFont="1" applyBorder="1" applyAlignment="1" applyProtection="1">
      <alignment horizontal="center" vertical="center" textRotation="90" wrapText="1"/>
      <protection locked="0"/>
    </xf>
    <xf numFmtId="0" fontId="15" fillId="0" borderId="0" xfId="0" applyFont="1" applyAlignment="1">
      <alignment horizontal="center" vertical="center"/>
    </xf>
    <xf numFmtId="0" fontId="15" fillId="2" borderId="22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42" xfId="0" applyBorder="1" applyAlignment="1"/>
    <xf numFmtId="0" fontId="0" fillId="0" borderId="24" xfId="0" applyBorder="1" applyAlignment="1">
      <alignment horizontal="center"/>
    </xf>
    <xf numFmtId="0" fontId="0" fillId="0" borderId="38" xfId="0" applyBorder="1" applyAlignment="1"/>
    <xf numFmtId="0" fontId="0" fillId="0" borderId="25" xfId="0" applyBorder="1" applyAlignment="1"/>
    <xf numFmtId="0" fontId="0" fillId="0" borderId="52" xfId="0" applyBorder="1" applyAlignment="1">
      <alignment horizontal="center" vertical="center"/>
    </xf>
    <xf numFmtId="0" fontId="0" fillId="3" borderId="54" xfId="0" applyFill="1" applyBorder="1"/>
    <xf numFmtId="0" fontId="8" fillId="3" borderId="1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15" fillId="0" borderId="52" xfId="0" applyFont="1" applyBorder="1" applyAlignment="1">
      <alignment vertical="center"/>
    </xf>
    <xf numFmtId="0" fontId="15" fillId="0" borderId="52" xfId="0" applyFont="1" applyBorder="1" applyAlignment="1" applyProtection="1">
      <alignment horizontal="center" vertical="center" wrapText="1"/>
      <protection locked="0"/>
    </xf>
    <xf numFmtId="0" fontId="15" fillId="0" borderId="5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4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0" fillId="3" borderId="55" xfId="0" applyFill="1" applyBorder="1"/>
    <xf numFmtId="0" fontId="0" fillId="3" borderId="5" xfId="0" applyFill="1" applyBorder="1"/>
    <xf numFmtId="0" fontId="0" fillId="0" borderId="52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4" xfId="0" applyBorder="1"/>
    <xf numFmtId="0" fontId="0" fillId="0" borderId="34" xfId="0" applyBorder="1"/>
    <xf numFmtId="0" fontId="1" fillId="0" borderId="52" xfId="0" applyFont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3" borderId="52" xfId="0" applyFont="1" applyFill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18" fillId="0" borderId="52" xfId="0" applyFont="1" applyBorder="1" applyAlignment="1">
      <alignment horizontal="center" wrapText="1"/>
    </xf>
    <xf numFmtId="0" fontId="18" fillId="3" borderId="52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39" fillId="0" borderId="0" xfId="0" applyFont="1"/>
    <xf numFmtId="0" fontId="4" fillId="0" borderId="0" xfId="0" applyFont="1" applyBorder="1"/>
    <xf numFmtId="0" fontId="15" fillId="0" borderId="0" xfId="0" applyFont="1"/>
    <xf numFmtId="0" fontId="15" fillId="0" borderId="0" xfId="0" applyFont="1" applyBorder="1"/>
    <xf numFmtId="0" fontId="7" fillId="0" borderId="0" xfId="0" applyFont="1" applyBorder="1"/>
    <xf numFmtId="0" fontId="40" fillId="0" borderId="0" xfId="0" applyFont="1" applyBorder="1"/>
    <xf numFmtId="0" fontId="7" fillId="0" borderId="0" xfId="0" applyFont="1" applyBorder="1" applyAlignment="1">
      <alignment horizontal="center"/>
    </xf>
    <xf numFmtId="0" fontId="26" fillId="0" borderId="0" xfId="0" applyFont="1"/>
    <xf numFmtId="0" fontId="26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0" xfId="0" applyFont="1" applyAlignment="1"/>
    <xf numFmtId="0" fontId="21" fillId="4" borderId="22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vertical="center" wrapText="1"/>
    </xf>
    <xf numFmtId="0" fontId="21" fillId="5" borderId="9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24" xfId="0" applyFont="1" applyFill="1" applyBorder="1" applyAlignment="1">
      <alignment vertical="center" wrapText="1"/>
    </xf>
    <xf numFmtId="0" fontId="21" fillId="5" borderId="24" xfId="0" applyFont="1" applyFill="1" applyBorder="1" applyAlignment="1">
      <alignment horizontal="center"/>
    </xf>
    <xf numFmtId="0" fontId="21" fillId="5" borderId="37" xfId="0" applyFont="1" applyFill="1" applyBorder="1" applyAlignment="1">
      <alignment horizontal="center"/>
    </xf>
    <xf numFmtId="0" fontId="17" fillId="5" borderId="2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/>
    </xf>
    <xf numFmtId="0" fontId="15" fillId="4" borderId="41" xfId="0" applyFont="1" applyFill="1" applyBorder="1" applyAlignment="1">
      <alignment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wrapText="1"/>
    </xf>
    <xf numFmtId="0" fontId="15" fillId="0" borderId="2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46" xfId="0" applyFill="1" applyBorder="1" applyAlignment="1">
      <alignment horizontal="center"/>
    </xf>
    <xf numFmtId="0" fontId="40" fillId="0" borderId="0" xfId="0" applyFont="1" applyAlignment="1">
      <alignment horizontal="center" wrapText="1"/>
    </xf>
    <xf numFmtId="0" fontId="0" fillId="3" borderId="52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9" fillId="2" borderId="2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3" borderId="22" xfId="0" applyFont="1" applyFill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9" fillId="2" borderId="4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 wrapText="1"/>
    </xf>
    <xf numFmtId="0" fontId="29" fillId="2" borderId="4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5" fillId="0" borderId="34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15" fillId="0" borderId="5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 wrapText="1"/>
    </xf>
    <xf numFmtId="0" fontId="0" fillId="0" borderId="56" xfId="0" applyBorder="1"/>
    <xf numFmtId="0" fontId="0" fillId="0" borderId="52" xfId="0" applyBorder="1"/>
    <xf numFmtId="0" fontId="15" fillId="0" borderId="3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8" fillId="3" borderId="56" xfId="0" applyFont="1" applyFill="1" applyBorder="1" applyAlignment="1">
      <alignment horizontal="center"/>
    </xf>
    <xf numFmtId="0" fontId="8" fillId="3" borderId="57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0" xfId="0" applyBorder="1" applyAlignment="1">
      <alignment vertical="center" textRotation="90" wrapText="1"/>
    </xf>
    <xf numFmtId="0" fontId="8" fillId="0" borderId="2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52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0" fillId="3" borderId="17" xfId="0" applyFill="1" applyBorder="1"/>
    <xf numFmtId="0" fontId="15" fillId="0" borderId="5" xfId="0" applyFont="1" applyBorder="1" applyAlignment="1">
      <alignment horizontal="center" vertical="center"/>
    </xf>
    <xf numFmtId="165" fontId="2" fillId="0" borderId="18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9" xfId="0" applyNumberFormat="1" applyBorder="1"/>
    <xf numFmtId="0" fontId="0" fillId="0" borderId="9" xfId="0" applyBorder="1" applyAlignment="1">
      <alignment horizontal="center"/>
    </xf>
    <xf numFmtId="0" fontId="44" fillId="0" borderId="0" xfId="0" applyFont="1" applyBorder="1" applyAlignment="1">
      <alignment horizontal="left" vertical="top"/>
    </xf>
    <xf numFmtId="0" fontId="8" fillId="0" borderId="0" xfId="0" applyFont="1" applyAlignment="1">
      <alignment textRotation="90"/>
    </xf>
    <xf numFmtId="0" fontId="0" fillId="0" borderId="9" xfId="0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32" fillId="0" borderId="41" xfId="0" applyFont="1" applyBorder="1" applyAlignment="1">
      <alignment horizontal="center" vertical="center" wrapText="1"/>
    </xf>
    <xf numFmtId="164" fontId="0" fillId="0" borderId="0" xfId="0" applyNumberFormat="1" applyBorder="1" applyAlignment="1"/>
    <xf numFmtId="0" fontId="0" fillId="0" borderId="9" xfId="0" applyBorder="1" applyAlignment="1">
      <alignment horizontal="center"/>
    </xf>
    <xf numFmtId="0" fontId="0" fillId="0" borderId="37" xfId="0" applyBorder="1" applyAlignment="1">
      <alignment horizontal="center"/>
    </xf>
    <xf numFmtId="0" fontId="45" fillId="0" borderId="22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5" fillId="3" borderId="22" xfId="0" applyFont="1" applyFill="1" applyBorder="1"/>
    <xf numFmtId="0" fontId="45" fillId="3" borderId="42" xfId="0" applyFont="1" applyFill="1" applyBorder="1"/>
    <xf numFmtId="0" fontId="45" fillId="3" borderId="1" xfId="0" applyFont="1" applyFill="1" applyBorder="1"/>
    <xf numFmtId="0" fontId="45" fillId="3" borderId="38" xfId="0" applyFont="1" applyFill="1" applyBorder="1"/>
    <xf numFmtId="0" fontId="45" fillId="0" borderId="24" xfId="0" applyFont="1" applyBorder="1" applyAlignment="1">
      <alignment horizontal="center"/>
    </xf>
    <xf numFmtId="0" fontId="45" fillId="3" borderId="24" xfId="0" applyFont="1" applyFill="1" applyBorder="1"/>
    <xf numFmtId="0" fontId="45" fillId="3" borderId="25" xfId="0" applyFont="1" applyFill="1" applyBorder="1"/>
    <xf numFmtId="164" fontId="33" fillId="0" borderId="18" xfId="0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" xfId="0" applyNumberFormat="1" applyFill="1" applyBorder="1" applyAlignment="1"/>
    <xf numFmtId="0" fontId="0" fillId="0" borderId="1" xfId="0" applyFill="1" applyBorder="1"/>
    <xf numFmtId="0" fontId="0" fillId="6" borderId="0" xfId="0" applyFill="1"/>
    <xf numFmtId="0" fontId="0" fillId="0" borderId="35" xfId="0" applyBorder="1"/>
    <xf numFmtId="0" fontId="0" fillId="0" borderId="54" xfId="0" applyBorder="1"/>
    <xf numFmtId="0" fontId="0" fillId="0" borderId="21" xfId="0" applyBorder="1"/>
    <xf numFmtId="0" fontId="0" fillId="0" borderId="22" xfId="0" applyBorder="1"/>
    <xf numFmtId="0" fontId="0" fillId="0" borderId="42" xfId="0" applyBorder="1"/>
    <xf numFmtId="164" fontId="0" fillId="6" borderId="1" xfId="0" applyNumberFormat="1" applyFill="1" applyBorder="1"/>
    <xf numFmtId="0" fontId="0" fillId="0" borderId="0" xfId="0" applyAlignment="1">
      <alignment horizontal="center"/>
    </xf>
    <xf numFmtId="0" fontId="8" fillId="0" borderId="18" xfId="0" applyFont="1" applyBorder="1" applyAlignment="1">
      <alignment horizontal="center" wrapText="1"/>
    </xf>
    <xf numFmtId="0" fontId="8" fillId="0" borderId="18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0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/>
    </xf>
    <xf numFmtId="0" fontId="33" fillId="0" borderId="0" xfId="0" applyFont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textRotation="90"/>
    </xf>
    <xf numFmtId="0" fontId="7" fillId="0" borderId="24" xfId="0" applyFont="1" applyBorder="1" applyAlignment="1">
      <alignment horizontal="center" textRotation="90"/>
    </xf>
    <xf numFmtId="0" fontId="21" fillId="0" borderId="16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wrapText="1"/>
    </xf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2" fillId="0" borderId="0" xfId="0" applyFont="1" applyBorder="1" applyAlignment="1">
      <alignment horizontal="center" vertical="center" textRotation="90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/>
    <xf numFmtId="0" fontId="8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7" fillId="0" borderId="0" xfId="0" applyFont="1" applyBorder="1" applyAlignment="1">
      <alignment horizontal="center" textRotation="90"/>
    </xf>
    <xf numFmtId="0" fontId="15" fillId="0" borderId="47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2" xfId="0" applyFont="1" applyBorder="1" applyAlignment="1" applyProtection="1">
      <alignment horizontal="center" vertical="center" wrapText="1"/>
      <protection locked="0"/>
    </xf>
    <xf numFmtId="0" fontId="15" fillId="0" borderId="5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42" fillId="0" borderId="33" xfId="0" applyFont="1" applyBorder="1" applyAlignment="1">
      <alignment horizontal="center" vertical="center" textRotation="90"/>
    </xf>
    <xf numFmtId="0" fontId="42" fillId="0" borderId="0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15" fillId="0" borderId="52" xfId="0" applyFont="1" applyBorder="1" applyAlignment="1">
      <alignment horizontal="center" vertical="center" wrapText="1"/>
    </xf>
    <xf numFmtId="0" fontId="15" fillId="0" borderId="52" xfId="0" applyFont="1" applyBorder="1" applyAlignment="1">
      <alignment vertical="center"/>
    </xf>
    <xf numFmtId="0" fontId="15" fillId="0" borderId="52" xfId="0" applyFont="1" applyBorder="1" applyAlignment="1">
      <alignment horizontal="center" vertical="center" textRotation="90" wrapText="1"/>
    </xf>
    <xf numFmtId="0" fontId="15" fillId="0" borderId="19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textRotation="90"/>
    </xf>
    <xf numFmtId="0" fontId="15" fillId="0" borderId="35" xfId="0" applyFont="1" applyBorder="1" applyAlignment="1">
      <alignment horizontal="center" vertical="center" textRotation="90"/>
    </xf>
    <xf numFmtId="0" fontId="15" fillId="0" borderId="54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0" borderId="35" xfId="0" applyFont="1" applyBorder="1" applyAlignment="1">
      <alignment horizontal="center" vertical="center" textRotation="90"/>
    </xf>
    <xf numFmtId="0" fontId="3" fillId="0" borderId="54" xfId="0" applyFont="1" applyBorder="1" applyAlignment="1">
      <alignment horizontal="center" vertical="center" textRotation="90"/>
    </xf>
    <xf numFmtId="0" fontId="15" fillId="0" borderId="4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textRotation="90" wrapText="1"/>
    </xf>
    <xf numFmtId="0" fontId="15" fillId="0" borderId="35" xfId="0" applyFont="1" applyBorder="1" applyAlignment="1">
      <alignment horizontal="center" vertical="center" textRotation="90" wrapText="1"/>
    </xf>
    <xf numFmtId="0" fontId="15" fillId="0" borderId="54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/>
    </xf>
    <xf numFmtId="0" fontId="0" fillId="0" borderId="38" xfId="0" applyBorder="1" applyAlignment="1">
      <alignment horizontal="center" textRotation="90"/>
    </xf>
    <xf numFmtId="0" fontId="0" fillId="0" borderId="51" xfId="0" applyBorder="1" applyAlignment="1">
      <alignment horizontal="center" textRotation="90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textRotation="90" wrapText="1"/>
    </xf>
    <xf numFmtId="0" fontId="15" fillId="0" borderId="55" xfId="0" applyFont="1" applyBorder="1" applyAlignment="1">
      <alignment horizontal="center" vertical="center" textRotation="90" wrapText="1"/>
    </xf>
    <xf numFmtId="0" fontId="0" fillId="0" borderId="48" xfId="0" applyBorder="1" applyAlignment="1">
      <alignment horizontal="center" textRotation="90"/>
    </xf>
    <xf numFmtId="0" fontId="0" fillId="0" borderId="32" xfId="0" applyBorder="1" applyAlignment="1">
      <alignment horizontal="center" textRotation="90"/>
    </xf>
    <xf numFmtId="0" fontId="15" fillId="0" borderId="47" xfId="0" applyFont="1" applyBorder="1" applyAlignment="1">
      <alignment horizontal="center" vertical="center" textRotation="90"/>
    </xf>
    <xf numFmtId="0" fontId="15" fillId="0" borderId="55" xfId="0" applyFont="1" applyBorder="1" applyAlignment="1">
      <alignment horizontal="center" vertical="center" textRotation="90"/>
    </xf>
    <xf numFmtId="0" fontId="15" fillId="0" borderId="40" xfId="0" applyFont="1" applyBorder="1" applyAlignment="1">
      <alignment horizontal="center" vertical="center" textRotation="90"/>
    </xf>
    <xf numFmtId="0" fontId="15" fillId="0" borderId="2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textRotation="90"/>
    </xf>
    <xf numFmtId="0" fontId="0" fillId="0" borderId="24" xfId="0" applyBorder="1" applyAlignment="1">
      <alignment horizontal="center" textRotation="90"/>
    </xf>
    <xf numFmtId="0" fontId="15" fillId="0" borderId="4" xfId="0" applyFont="1" applyBorder="1" applyAlignment="1">
      <alignment horizontal="center" vertical="center" textRotation="90" wrapText="1"/>
    </xf>
    <xf numFmtId="0" fontId="15" fillId="0" borderId="5" xfId="0" applyFont="1" applyBorder="1" applyAlignment="1">
      <alignment horizontal="center" vertical="center" textRotation="90" wrapText="1"/>
    </xf>
    <xf numFmtId="0" fontId="15" fillId="0" borderId="53" xfId="0" applyFont="1" applyBorder="1" applyAlignment="1">
      <alignment horizontal="center" vertical="center" textRotation="90" wrapText="1"/>
    </xf>
    <xf numFmtId="0" fontId="15" fillId="0" borderId="50" xfId="0" applyFont="1" applyBorder="1" applyAlignment="1">
      <alignment horizontal="center" vertical="center" textRotation="90" wrapText="1"/>
    </xf>
    <xf numFmtId="0" fontId="15" fillId="0" borderId="35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textRotation="180"/>
    </xf>
    <xf numFmtId="0" fontId="37" fillId="0" borderId="0" xfId="0" applyFont="1" applyBorder="1" applyAlignment="1">
      <alignment horizontal="center" vertical="center" textRotation="180"/>
    </xf>
    <xf numFmtId="0" fontId="0" fillId="0" borderId="5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5" fillId="0" borderId="34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15" fillId="0" borderId="54" xfId="0" applyFont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0" borderId="54" xfId="0" applyFont="1" applyBorder="1" applyAlignment="1" applyProtection="1">
      <alignment horizontal="center" vertical="center" wrapText="1"/>
      <protection locked="0"/>
    </xf>
    <xf numFmtId="0" fontId="37" fillId="0" borderId="33" xfId="0" applyFont="1" applyBorder="1" applyAlignment="1">
      <alignment horizontal="center" vertical="center" textRotation="90"/>
    </xf>
    <xf numFmtId="0" fontId="37" fillId="0" borderId="0" xfId="0" applyFont="1" applyBorder="1" applyAlignment="1">
      <alignment horizontal="center" vertical="center" textRotation="90"/>
    </xf>
    <xf numFmtId="0" fontId="0" fillId="0" borderId="24" xfId="0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1" fillId="0" borderId="3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21" fillId="2" borderId="22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1" fillId="0" borderId="0" xfId="0" applyFont="1" applyAlignment="1">
      <alignment horizontal="center" textRotation="90"/>
    </xf>
    <xf numFmtId="0" fontId="43" fillId="0" borderId="0" xfId="0" applyFont="1" applyAlignment="1">
      <alignment horizontal="center" textRotation="90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3" fillId="0" borderId="0" xfId="0" applyFont="1" applyAlignment="1">
      <alignment textRotation="90"/>
    </xf>
    <xf numFmtId="0" fontId="2" fillId="0" borderId="0" xfId="0" applyFont="1" applyBorder="1" applyAlignment="1">
      <alignment horizontal="center" textRotation="90" wrapText="1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0" xfId="0" quotePrefix="1" applyFont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25" fillId="0" borderId="0" xfId="0" applyFont="1" applyAlignment="1">
      <alignment horizontal="left"/>
    </xf>
    <xf numFmtId="0" fontId="1" fillId="0" borderId="52" xfId="0" applyFont="1" applyBorder="1" applyAlignment="1">
      <alignment horizontal="center" vertical="center"/>
    </xf>
    <xf numFmtId="0" fontId="16" fillId="0" borderId="52" xfId="0" applyFont="1" applyBorder="1" applyAlignment="1" applyProtection="1">
      <alignment horizontal="center" vertical="center" textRotation="90" wrapText="1"/>
      <protection locked="0"/>
    </xf>
    <xf numFmtId="0" fontId="15" fillId="2" borderId="52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textRotation="90" wrapText="1"/>
    </xf>
    <xf numFmtId="0" fontId="15" fillId="2" borderId="35" xfId="0" applyFont="1" applyFill="1" applyBorder="1" applyAlignment="1">
      <alignment horizontal="center" vertical="center" textRotation="90" wrapText="1"/>
    </xf>
    <xf numFmtId="0" fontId="15" fillId="2" borderId="54" xfId="0" applyFont="1" applyFill="1" applyBorder="1" applyAlignment="1">
      <alignment horizontal="center" vertical="center" textRotation="90" wrapText="1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" xfId="0" applyBorder="1" applyAlignment="1">
      <alignment horizontal="center"/>
    </xf>
    <xf numFmtId="0" fontId="20" fillId="3" borderId="52" xfId="0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 textRotation="90"/>
    </xf>
    <xf numFmtId="0" fontId="15" fillId="0" borderId="52" xfId="0" applyFont="1" applyBorder="1" applyAlignment="1" applyProtection="1">
      <alignment horizontal="center" vertical="center" textRotation="90" wrapText="1"/>
      <protection locked="0"/>
    </xf>
    <xf numFmtId="0" fontId="1" fillId="2" borderId="5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textRotation="90"/>
    </xf>
    <xf numFmtId="0" fontId="21" fillId="0" borderId="35" xfId="0" applyFont="1" applyBorder="1" applyAlignment="1">
      <alignment horizontal="center" vertical="center" textRotation="90"/>
    </xf>
    <xf numFmtId="0" fontId="21" fillId="0" borderId="54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textRotation="90"/>
    </xf>
    <xf numFmtId="0" fontId="1" fillId="3" borderId="5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textRotation="90" wrapText="1"/>
    </xf>
    <xf numFmtId="0" fontId="21" fillId="3" borderId="35" xfId="0" applyFont="1" applyFill="1" applyBorder="1" applyAlignment="1">
      <alignment horizontal="center" vertical="center" textRotation="90" wrapText="1"/>
    </xf>
    <xf numFmtId="0" fontId="21" fillId="3" borderId="54" xfId="0" applyFont="1" applyFill="1" applyBorder="1" applyAlignment="1">
      <alignment horizontal="center" vertical="center" textRotation="90" wrapText="1"/>
    </xf>
    <xf numFmtId="0" fontId="22" fillId="0" borderId="33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38" fillId="0" borderId="0" xfId="0" applyFont="1" applyAlignment="1">
      <alignment horizontal="center" textRotation="90"/>
    </xf>
    <xf numFmtId="0" fontId="21" fillId="5" borderId="22" xfId="0" applyFont="1" applyFill="1" applyBorder="1" applyAlignment="1">
      <alignment horizontal="center" vertical="center" wrapText="1"/>
    </xf>
    <xf numFmtId="0" fontId="15" fillId="4" borderId="43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34"/>
  <sheetViews>
    <sheetView tabSelected="1" zoomScale="85" zoomScaleNormal="85" workbookViewId="0">
      <selection activeCell="F4" sqref="F4"/>
    </sheetView>
  </sheetViews>
  <sheetFormatPr defaultRowHeight="15"/>
  <cols>
    <col min="1" max="1" width="4.42578125" customWidth="1"/>
    <col min="2" max="2" width="11.140625" customWidth="1"/>
    <col min="3" max="3" width="11" customWidth="1"/>
    <col min="4" max="5" width="3.85546875" customWidth="1"/>
    <col min="6" max="6" width="14.7109375" customWidth="1"/>
    <col min="9" max="9" width="12" customWidth="1"/>
    <col min="10" max="10" width="14.7109375" customWidth="1"/>
    <col min="11" max="11" width="10.7109375" customWidth="1"/>
    <col min="12" max="12" width="4.85546875" customWidth="1"/>
    <col min="13" max="13" width="11.5703125" customWidth="1"/>
    <col min="28" max="28" width="9.7109375" customWidth="1"/>
    <col min="29" max="29" width="8.7109375" customWidth="1"/>
    <col min="33" max="34" width="11.28515625" customWidth="1"/>
  </cols>
  <sheetData>
    <row r="1" spans="1:49">
      <c r="F1" s="427" t="s">
        <v>1</v>
      </c>
      <c r="G1" s="427"/>
      <c r="L1">
        <v>1</v>
      </c>
      <c r="M1" s="1" t="s">
        <v>401</v>
      </c>
      <c r="N1" s="1" t="s">
        <v>28</v>
      </c>
      <c r="O1">
        <v>1</v>
      </c>
      <c r="P1" s="45" t="s">
        <v>46</v>
      </c>
      <c r="Q1">
        <v>5</v>
      </c>
      <c r="R1" s="1" t="s">
        <v>272</v>
      </c>
      <c r="AI1">
        <v>3.3000000000000002E-2</v>
      </c>
      <c r="AJ1">
        <v>2.1999999999999999E-2</v>
      </c>
      <c r="AK1">
        <v>3.3500000000000002E-2</v>
      </c>
    </row>
    <row r="2" spans="1:49">
      <c r="F2" s="8"/>
      <c r="G2" s="8"/>
      <c r="I2" t="s">
        <v>224</v>
      </c>
      <c r="L2">
        <v>2</v>
      </c>
      <c r="M2" s="1" t="s">
        <v>402</v>
      </c>
      <c r="N2" s="1" t="s">
        <v>44</v>
      </c>
      <c r="O2">
        <v>2</v>
      </c>
      <c r="P2" s="45" t="s">
        <v>45</v>
      </c>
      <c r="Y2">
        <v>2.8000000000000001E-2</v>
      </c>
      <c r="AI2">
        <v>3.3000000000000002E-2</v>
      </c>
      <c r="AJ2">
        <v>1.7000000000000001E-2</v>
      </c>
      <c r="AK2">
        <v>3.3500000000000002E-2</v>
      </c>
    </row>
    <row r="3" spans="1:49">
      <c r="F3" s="10"/>
      <c r="G3" s="10"/>
      <c r="L3">
        <v>3</v>
      </c>
      <c r="M3" s="1" t="s">
        <v>401</v>
      </c>
      <c r="N3" s="1" t="s">
        <v>29</v>
      </c>
      <c r="O3">
        <v>3</v>
      </c>
      <c r="P3" s="45" t="s">
        <v>47</v>
      </c>
      <c r="Y3">
        <v>2.1999999999999999E-2</v>
      </c>
      <c r="AI3">
        <v>2.1999999999999999E-2</v>
      </c>
      <c r="AJ3">
        <v>1.4E-2</v>
      </c>
      <c r="AK3">
        <v>3.3500000000000002E-2</v>
      </c>
      <c r="AQ3" t="s">
        <v>72</v>
      </c>
      <c r="AS3" t="s">
        <v>73</v>
      </c>
      <c r="AU3" t="s">
        <v>75</v>
      </c>
    </row>
    <row r="4" spans="1:49" ht="21">
      <c r="B4" s="428" t="s">
        <v>69</v>
      </c>
      <c r="C4" s="429"/>
      <c r="F4" s="57"/>
      <c r="G4" s="10"/>
      <c r="L4">
        <v>4</v>
      </c>
      <c r="M4" s="1" t="s">
        <v>402</v>
      </c>
      <c r="N4" s="1" t="s">
        <v>30</v>
      </c>
      <c r="O4">
        <v>4</v>
      </c>
      <c r="P4" s="45" t="s">
        <v>48</v>
      </c>
      <c r="W4">
        <v>2.5000000000000001E-2</v>
      </c>
      <c r="X4">
        <v>2.5000000000000001E-2</v>
      </c>
      <c r="Y4">
        <v>1.7000000000000001E-2</v>
      </c>
      <c r="Z4">
        <v>0.13600000000000001</v>
      </c>
      <c r="AA4">
        <v>0.05</v>
      </c>
      <c r="AB4">
        <v>1.0999999999999999E-2</v>
      </c>
      <c r="AC4">
        <v>8.0000000000000002E-3</v>
      </c>
      <c r="AI4">
        <v>2.1999999999999999E-2</v>
      </c>
      <c r="AJ4">
        <v>1.4E-2</v>
      </c>
      <c r="AK4">
        <v>3.3500000000000002E-2</v>
      </c>
      <c r="AQ4">
        <v>1.4999999999999999E-2</v>
      </c>
    </row>
    <row r="5" spans="1:49" ht="46.5" customHeight="1">
      <c r="A5" s="3"/>
      <c r="B5" s="59" t="s">
        <v>4</v>
      </c>
      <c r="C5" s="59" t="s">
        <v>0</v>
      </c>
      <c r="D5" s="59"/>
      <c r="E5" s="59"/>
      <c r="F5" s="59" t="s">
        <v>2</v>
      </c>
      <c r="G5" s="59" t="s">
        <v>3</v>
      </c>
      <c r="H5" s="59" t="s">
        <v>5</v>
      </c>
      <c r="I5" s="6" t="s">
        <v>13</v>
      </c>
      <c r="J5" s="6" t="s">
        <v>206</v>
      </c>
      <c r="K5" s="6" t="s">
        <v>38</v>
      </c>
      <c r="L5" s="3"/>
      <c r="M5" s="3"/>
      <c r="N5" s="3"/>
      <c r="O5" s="3" t="s">
        <v>25</v>
      </c>
      <c r="P5" s="3" t="s">
        <v>24</v>
      </c>
      <c r="Q5" s="3" t="s">
        <v>23</v>
      </c>
      <c r="R5" s="3" t="s">
        <v>27</v>
      </c>
      <c r="U5" s="430" t="s">
        <v>277</v>
      </c>
      <c r="V5" s="430"/>
      <c r="W5" s="33" t="s">
        <v>49</v>
      </c>
      <c r="X5" s="33" t="s">
        <v>50</v>
      </c>
      <c r="Y5" s="33" t="s">
        <v>51</v>
      </c>
      <c r="Z5" s="33" t="s">
        <v>52</v>
      </c>
      <c r="AA5" s="33" t="s">
        <v>53</v>
      </c>
      <c r="AB5" s="33" t="s">
        <v>54</v>
      </c>
      <c r="AC5" s="33" t="s">
        <v>55</v>
      </c>
      <c r="AD5" s="33" t="s">
        <v>56</v>
      </c>
      <c r="AE5" s="33" t="s">
        <v>62</v>
      </c>
      <c r="AF5" s="33" t="s">
        <v>63</v>
      </c>
      <c r="AG5" s="33"/>
      <c r="AH5" s="33"/>
      <c r="AI5" s="33" t="s">
        <v>64</v>
      </c>
      <c r="AJ5" s="33" t="s">
        <v>18</v>
      </c>
      <c r="AK5" s="33" t="s">
        <v>65</v>
      </c>
      <c r="AL5" s="33" t="s">
        <v>66</v>
      </c>
      <c r="AM5" s="33" t="s">
        <v>67</v>
      </c>
      <c r="AN5" s="33" t="s">
        <v>68</v>
      </c>
      <c r="AO5" s="33"/>
      <c r="AP5" s="33"/>
      <c r="AQ5" s="33"/>
    </row>
    <row r="6" spans="1:49" ht="17.25" customHeight="1">
      <c r="A6">
        <v>1</v>
      </c>
      <c r="B6" s="54"/>
      <c r="C6" s="1"/>
      <c r="D6" s="1"/>
      <c r="E6" s="53"/>
      <c r="F6" s="54"/>
      <c r="G6" s="55"/>
      <c r="H6" s="54"/>
      <c r="I6" s="354"/>
      <c r="J6" s="1"/>
      <c r="K6" s="414"/>
      <c r="L6" s="30" t="str">
        <f>IF(K6=$P$1,$O$1,IF(K6=$P$2,$O$2,IF(K6=$P$3,$O$3,IF(K6=$P$4,$O$4,"---"))))</f>
        <v>---</v>
      </c>
      <c r="M6">
        <f>IF(D6=$N$1,1,IF(D6=$N$2,2,IF(D6=$N$3,3,IF(D6=$N$4,4,0))))</f>
        <v>0</v>
      </c>
      <c r="O6" t="str">
        <f>IF(L6=1,IF(F6=375,150,IF(F6=475,150,IF(F6=475,150,IF(F6=675,150,IF(F6=675,150,IF(F6=1115,150,150)))))),IF(L6=2,IF(F6=375,150,IF(F6=475,150,IF(F6=475,150,IF(F6=675,150,IF(F6=675,150,IF(F6=1115,150,150)))))),IF(L6=3,IF(F6=375,150,IF(F6=475,150,IF(F6=475,150,IF(F6=675,150,IF(F6=675,150,IF(F6=1115,150,150)))))),IF(L6=4,IF(F6=375,150,IF(F6=475,150,IF(F6=475,150,IF(F6=675,150,IF(F6=675,150,IF(F6=1115,150,150)))))),"---"))))</f>
        <v>---</v>
      </c>
      <c r="P6" t="str">
        <f>IF(M6=3,IF(F6=375,150,IF(F6=475,150,IF(F6=675,150,150))),"---")</f>
        <v>---</v>
      </c>
      <c r="Q6" s="10" t="str">
        <f>IF(M6=2,150,IF(M6=4,150,"---"))</f>
        <v>---</v>
      </c>
      <c r="R6" s="51" t="str">
        <f>IF(M6=1,IF(AND(315=F6, G6=590),212,IF(AND(315=F6, G6=890),212,IF(AND(315=F6, G6=1190),212,IF(AND(315=F6, G6=1490),212,IF(AND(595=F6, G6=1727),232,IF(AND(320=F6, G6=567),232,IF(AND(595=F6, G6=1790),232,IF(AND(320=F6, G6=870),232,IF(AND(320=F6, G6=570),232,IF(AND(320=F6, G6=1170),232,IF(AND(315=F6, G6=570),212,252))))))))))),IF(M6=3,IF(AND(315=F6, G6=590),212,IF(AND(315=F6, G6=890),212,IF(AND(315=F6, G6=1190),212,IF(AND(315=F6, G6=1490),212,IF(AND(595=F6, G6=1727),232,IF(AND(320=F6, G6=567),232,IF(AND(595=F6, G6=1790),232,IF(AND(320=F6, G6=570),232,252)))))))),"---"))</f>
        <v>---</v>
      </c>
      <c r="S6" s="12" t="str">
        <f>IF(M6=1,IF(B6&lt;400000,252,R6),IF(M6=3,IF(B6&lt;400000,252,R6),"---"))</f>
        <v>---</v>
      </c>
      <c r="T6" s="20" t="str">
        <f>IF(C6=$M$1,1,IF(C6=$M$2,2,"---"))</f>
        <v>---</v>
      </c>
      <c r="U6" s="106"/>
      <c r="V6" s="35">
        <f>IF(J6="монт. планка",2,0)</f>
        <v>0</v>
      </c>
      <c r="W6" s="30">
        <f>IF(M6=$O$1,$W$4*H6*2,IF(M6=$O$3,$W$4*H6*2,0))</f>
        <v>0</v>
      </c>
      <c r="X6" s="30">
        <f>IF(M6=$O$1,$X$4*H6*2,0)</f>
        <v>0</v>
      </c>
      <c r="Y6" s="32">
        <f>IF(M6=4,0,IF((AND('Задание Ножницы лента'!I9&gt;1000,'Задание Ножницы лента'!I9&lt;2000)),'Исходные данные'!$Y$3*'Исходные данные'!H6*2,IF('Задание Ножницы лента'!I9&lt;1000,$Y$4*2*H6,IF('Задание Ножницы лента'!I9&gt;2000,$Y$2*2*H6,"---"))))</f>
        <v>0</v>
      </c>
      <c r="Z6" s="30">
        <f>IF(M6=$O$2,$Z$4*H6,IF(M6=$O$4,$Z$4*H6,0))</f>
        <v>0</v>
      </c>
      <c r="AA6" s="30">
        <f>IF(M6=$O$2,$AA$4*H6*'Труматик гермики'!Q7,IF(M6=$O$4,$AA$4*H6*'Труматик гермики'!Q7,0))</f>
        <v>0</v>
      </c>
      <c r="AB6" s="30">
        <f>IF(M6=4,0,IF($M$1=C6,'Труматик гермики'!P7*H6*$AB$4*2,IF($M$2=C6,'Труматик гермики'!Q7*H6*$AB$4,0)))</f>
        <v>0</v>
      </c>
      <c r="AC6" s="30">
        <f>IF(M6=$O$1,$AC$4*H6*2,IF(M6=$O$3,$AC$4*H6*2,0))</f>
        <v>0</v>
      </c>
      <c r="AD6" s="30">
        <f>IF(L6=2,(AC6+AB6+AA6+Z6+Y6+X6+W6)*1.2,(AC6+AB6+AA6+Z6+Y6+X6+W6))</f>
        <v>0</v>
      </c>
      <c r="AE6" s="32">
        <f>IF(W6&gt;0,W6,Z6)</f>
        <v>0</v>
      </c>
      <c r="AF6" s="32">
        <f>W6+X6+Y6+AB6+AC6</f>
        <v>0</v>
      </c>
      <c r="AI6" s="33">
        <f>IF(C6=$M$1,IF(((AND(G6&gt;0,G6&lt;500))),$AI$4*2*H6,IF(((AND(G6&gt;=500,G6&lt;1000))),$AI$3*2*H6,IF(((AND(G6&gt;=1000,G6&lt;1500))),$AI$2*2*H6,IF(((AND(G6&gt;=1500,G6&lt;2000))),$AI$1*2*H6,IF(((AND(G6&gt;=2000,G6&lt;2500))),0.048*2*H6,0))))),0)</f>
        <v>0</v>
      </c>
      <c r="AJ6" s="33">
        <f>IF(M6=$O$1,IF(((AND(G6&gt;0,G6&lt;500))),$AJ$4*2*H6,IF(((AND(G6&gt;=500,G6&lt;1000))),$AJ$3*2*H6,IF(((AND(G6&gt;=1000,G6&lt;1500))),$AJ$2*2*H6,IF(((AND(G6&gt;=1500,G6&lt;2000))),$AJ$1*2*H6,IF(((AND(G6&gt;=2000,G6&lt;2500))),0.048*2*H6,0))))),0)</f>
        <v>0</v>
      </c>
      <c r="AK6" s="33">
        <f>IF(M6=4,0,$AK$4*2*H6)</f>
        <v>0</v>
      </c>
      <c r="AL6" s="33">
        <f>IF(C6=$M$1,IF(((AND(G6&gt;0,G6&lt;500))),0.014*2*H6,IF(((AND(G6&gt;=500,G6&lt;1000))),0.014*2*H6,IF(((AND(G6&gt;=1000,G6&lt;1500))),0.014*2*H6,IF(((AND(G6&gt;=1500,G6&lt;2000))),0.015*2*H6,IF(((AND(G6&gt;=2000,G6&lt;2500))),0.015*2*H6,0))))),0)</f>
        <v>0</v>
      </c>
      <c r="AM6" s="33">
        <f>IF(AJ6&gt;0,0.004*2*4*H6,0)</f>
        <v>0</v>
      </c>
      <c r="AN6" s="33">
        <f>IF(K6=$P$2,(AI6+AJ6+AL6+AM6)*1.2,AI6+AJ6+AL6+AM6)</f>
        <v>0</v>
      </c>
      <c r="AO6" s="33">
        <f>AN6+AK6</f>
        <v>0</v>
      </c>
      <c r="AP6" s="33"/>
      <c r="AQ6" s="33">
        <f>IF(M6=1,'Труматик гермики'!S7*'Исходные данные'!$AQ$4,IF(M6=3,'Труматик гермики'!S7*'Исходные данные'!$AQ$4,0))</f>
        <v>0</v>
      </c>
      <c r="AS6">
        <f>IF(M6=2,IF('Труматик гермики'!Q7=1,0.6*'Исходные данные'!H6,IF('Труматик гермики'!Q7=2,1.5*'Исходные данные'!H6,IF('Труматик гермики'!Q7=3,1.16*'Исходные данные'!H6,IF('Труматик гермики'!Q7=4,1.34*'Исходные данные'!H6,IF('Труматик гермики'!Q7=6,1.66*'Исходные данные'!H6,IF('Труматик гермики'!Q7=7,1.82*'Исходные данные'!H6,IF('Труматик гермики'!Q7=8,1.98*'Исходные данные'!H6,IF('Труматик гермики'!Q7=9,2.14*'Исходные данные'!H6,IF('Труматик гермики'!Q7=10,2.3*'Исходные данные'!H6,IF('Труматик гермики'!Q7=11,2.46*'Исходные данные'!H6,IF('Труматик гермики'!Q7=12,2.62*'Исходные данные'!H6,IF('Труматик гермики'!Q7=13,2.78*'Исходные данные'!H6,IF('Труматик гермики'!Q7=15,3.1*'Исходные данные'!H6,0))))))))))))),IF(M6=4,IF('Труматик гермики'!Q7=1,0.6*'Исходные данные'!H6,IF('Труматик гермики'!Q7=5,1.5*'Исходные данные'!H6,IF('Труматик гермики'!Q7=3,1.16*'Исходные данные'!H6,IF('Труматик гермики'!Q7=4,1.34*'Исходные данные'!H6,IF('Труматик гермики'!Q7=6,1.66*'Исходные данные'!H6,IF('Труматик гермики'!Q7=7,1.82*'Исходные данные'!H6,IF('Труматик гермики'!Q7=8,1.98*'Исходные данные'!H6,IF('Труматик гермики'!Q7=9,2.14*'Исходные данные'!H6,IF('Труматик гермики'!Q7=10,2.3*'Исходные данные'!H6,IF('Труматик гермики'!Q7=11,2.46*'Исходные данные'!H6,IF('Труматик гермики'!Q7=12,2.62*'Исходные данные'!H6,IF('Труматик гермики'!Q7=13,2.78*'Исходные данные'!H6,IF('Труматик гермики'!Q7=15,3.1*'Исходные данные'!H6,0))))))))))))),0))</f>
        <v>0</v>
      </c>
      <c r="AU6">
        <f>IF(M6=1,IF('Труматик гермики'!P7&lt;=2,H6*1.91,IF('Труматик гермики'!P7&lt;=4,H6*2.06,IF('Труматик гермики'!P7&lt;=5,H6*2.16,IF('Труматик гермики'!P7&lt;=6,H6*2.35,IF('Труматик гермики'!P7&lt;=7,H6*2.47,IF('Труматик гермики'!P7&lt;=8,H6*2.51,IF('Труматик гермики'!P7&lt;=10,H6*2.71,IF('Труматик гермики'!P7&lt;=16,H6*4.49,IF('Труматик гермики'!P7&lt;=20,H6*4.8,IF('Труматик гермики'!P7&lt;=24,H6*5.11,IF('Труматик гермики'!P7&lt;=32,H6*6.18,0))))))))))),IF(M6=3,IF('Труматик гермики'!P7&lt;=2,H6*1.3,IF('Труматик гермики'!P7&lt;=4,H6*1.45,IF('Труматик гермики'!P7&lt;=5,H6*1.55,IF('Труматик гермики'!P7&lt;=6,H6*1.74,IF('Труматик гермики'!P7&lt;=7,H6*1.86,IF('Труматик гермики'!P7&lt;=8,H6*1.9,IF('Труматик гермики'!P7&lt;=10,H6*2.1,IF('Труматик гермики'!P7&lt;=16,H6*3.27,IF('Труматик гермики'!P7&lt;=20,H6*3.28,IF('Труматик гермики'!P7&lt;=24,H6*3.89,IF('Труматик гермики'!P7&lt;=32,H6*4.96,0))))))))))),0))</f>
        <v>0</v>
      </c>
      <c r="AW6">
        <f>IF(325&lt;F6&lt;600,1,0)</f>
        <v>0</v>
      </c>
    </row>
    <row r="7" spans="1:49">
      <c r="A7">
        <f>1+A6</f>
        <v>2</v>
      </c>
      <c r="B7" s="54"/>
      <c r="C7" s="1"/>
      <c r="D7" s="1"/>
      <c r="E7" s="53"/>
      <c r="F7" s="54"/>
      <c r="G7" s="55"/>
      <c r="H7" s="54"/>
      <c r="I7" s="354"/>
      <c r="J7" s="1"/>
      <c r="K7" s="416"/>
      <c r="L7" s="309" t="str">
        <f t="shared" ref="L7:L26" si="0">IF(K7=$P$1,$O$1,IF(K7=$P$2,$O$2,IF(K7=$P$3,$O$3,IF(K7=$P$4,$O$4,"---"))))</f>
        <v>---</v>
      </c>
      <c r="M7">
        <f>IF(D7=$N$1,1,IF(D7=$N$2,2,IF(D7=$N$3,3,IF(D7=$N$4,4,0))))</f>
        <v>0</v>
      </c>
      <c r="O7" t="str">
        <f t="shared" ref="O7:O26" si="1">IF(L7=1,IF(F7=375,150,IF(F7=475,150,IF(F7=475,150,IF(F7=675,150,IF(F7=675,150,IF(F7=1115,150,150)))))),IF(L7=2,IF(F7=375,150,IF(F7=475,150,IF(F7=475,150,IF(F7=675,150,IF(F7=675,150,IF(F7=1115,150,150)))))),IF(L7=3,IF(F7=375,150,IF(F7=475,150,IF(F7=475,150,IF(F7=675,150,IF(F7=675,150,IF(F7=1115,150,150)))))),IF(L7=4,IF(F7=375,150,IF(F7=475,150,IF(F7=475,150,IF(F7=675,150,IF(F7=675,150,IF(F7=1115,150,150)))))),"---"))))</f>
        <v>---</v>
      </c>
      <c r="P7" t="str">
        <f t="shared" ref="P7:P26" si="2">IF(M7=3,IF(F7=375,150,IF(F7=475,150,IF(F7=675,150,150))),"---")</f>
        <v>---</v>
      </c>
      <c r="Q7" s="10" t="str">
        <f t="shared" ref="Q7:Q26" si="3">IF(M7=2,150,IF(M7=4,150,"---"))</f>
        <v>---</v>
      </c>
      <c r="R7" s="43" t="str">
        <f>IF(M7=1,IF(AND(315=F7, G7=590),212,IF(AND(315=F7, G7=890),212,IF(AND(315=F7, G7=1190),212,IF(AND(315=F7, G7=1490),212,IF(AND(595=F7, G7=1727),232,IF(AND(320=F7, G7=567),232,IF(AND(595=F7, G7=1790),232,IF(AND(320=F7, G7=870),232,IF(AND(320=F7, G7=570),232,IF(AND(320=F7, G7=1170),232,IF(AND(315=F7, G7=570),212,252))))))))))),IF(M7=3,IF(AND(315=F7, G7=590),212,IF(AND(315=F7, G7=890),212,IF(AND(315=F7, G7=1190),212,IF(AND(315=F7, G7=1490),212,IF(AND(595=F7, G7=1727),232,IF(AND(320=F7, G7=567),232,IF(AND(595=F7, G7=1790),232,IF(AND(320=F7, G7=570),232,252)))))))),"---"))</f>
        <v>---</v>
      </c>
      <c r="S7" s="60" t="str">
        <f>IF(M7=1,IF(B7&lt;400000,252,R7),IF(M7=3,IF(B7&lt;400000,252,R7),"---"))</f>
        <v>---</v>
      </c>
      <c r="T7" s="39" t="str">
        <f>IF(C7=$M$1,1,IF(C7=$M$2,2,"---"))</f>
        <v>---</v>
      </c>
      <c r="U7" s="106"/>
      <c r="V7" s="219">
        <f t="shared" ref="V7:V27" si="4">IF(J7="монт. планка",2,0)</f>
        <v>0</v>
      </c>
      <c r="W7" s="39">
        <f>IF(M7=$O$1,$W$4*H7*2,IF(M7=$O$3,$W$4*H7*2,0))</f>
        <v>0</v>
      </c>
      <c r="X7" s="39">
        <f>IF(M7=$O$1,$X$4*H7*2,0)</f>
        <v>0</v>
      </c>
      <c r="Y7" s="39">
        <f>IF(M7=4,0,IF((AND('Задание Ножницы лента'!I10&gt;1000,'Задание Ножницы лента'!I10&lt;2000)),'Исходные данные'!$Y$3*'Исходные данные'!H7*2,IF('Задание Ножницы лента'!I10&lt;1000,$Y$4*2*H7,IF('Задание Ножницы лента'!I10&gt;2000,$Y$2*2*H7,"---"))))</f>
        <v>0</v>
      </c>
      <c r="Z7" s="39">
        <f>IF(M7=$O$2,$Z$4*H7,IF(M7=$O$4,$Z$4*H7,0))</f>
        <v>0</v>
      </c>
      <c r="AA7" s="305">
        <f>IF(M7=$O$2,$AA$4*H7*'Труматик гермики'!Q8,IF(M7=$O$4,$AA$4*H7*'Труматик гермики'!Q8,0))</f>
        <v>0</v>
      </c>
      <c r="AB7" s="39">
        <f>IF(M7=4,0,IF($M$1=C7,'Труматик гермики'!P8*H7*$AB$4*2,IF($M$2=C7,'Труматик гермики'!Q8*H7*$AB$4,0)))</f>
        <v>0</v>
      </c>
      <c r="AC7" s="39">
        <f>IF(M7=$O$1,$AC$4*H7*2,IF(M7=$O$3,$AC$4*H7*2,0))</f>
        <v>0</v>
      </c>
      <c r="AD7" s="30">
        <f t="shared" ref="AD7:AD26" si="5">IF(L7=2,(AC7+AB7+AA7+Z7+Y7+X7+W7)*1.2,(AC7+AB7+AA7+Z7+Y7+X7+W7))</f>
        <v>0</v>
      </c>
      <c r="AE7" s="348">
        <f t="shared" ref="AE7:AE27" si="6">IF(W7&gt;0,W7,Z7)</f>
        <v>0</v>
      </c>
      <c r="AF7" s="32">
        <f t="shared" ref="AF7:AF26" si="7">W7+X7+Y7+AB7+AC7</f>
        <v>0</v>
      </c>
      <c r="AI7" s="33">
        <f>IF(C7=$M$1,IF(((AND(G7&gt;0,G7&lt;500))),$AI$4*2*H7,IF(((AND(G7&gt;=500,G7&lt;1000))),$AI$3*2*H7,IF(((AND(G7&gt;=1000,G7&lt;1500))),$AI$2*2*H7,IF(((AND(G7&gt;=1500,G7&lt;2000))),$AI$1*2*H7,IF(((AND(G7&gt;=2000,G7&lt;2500))),0.048*2*H7,0))))),0)</f>
        <v>0</v>
      </c>
      <c r="AJ7" s="33">
        <f>IF(M7=$O$1,IF(((AND(G7&gt;0,G7&lt;500))),$AJ$4*2*H7,IF(((AND(G7&gt;=500,G7&lt;1000))),$AJ$3*2*H7,IF(((AND(G7&gt;=1000,G7&lt;1500))),$AJ$2*2*H7,IF(((AND(G7&gt;=1500,G7&lt;2000))),$AJ$1*2*H7,IF(((AND(G7&gt;=2000,G7&lt;2500))),0.048*2*H7,0))))),0)</f>
        <v>0</v>
      </c>
      <c r="AK7" s="33">
        <f>IF(M7=4,0,$AK$4*2*H7)</f>
        <v>0</v>
      </c>
      <c r="AL7" s="33">
        <f>IF(C7=$M$1,IF(((AND(G7&gt;0,G7&lt;500))),0.014*2*H7,IF(((AND(G7&gt;=500,G7&lt;1000))),0.014*2*H7,IF(((AND(G7&gt;=1000,G7&lt;1500))),0.014*2*H7,IF(((AND(G7&gt;=1500,G7&lt;2000))),0.015*2*H7,IF(((AND(G7&gt;=2000,G7&lt;2500))),0.015*2*H7,0))))),0)</f>
        <v>0</v>
      </c>
      <c r="AM7" s="33">
        <f>IF(AJ7&gt;0,0.004*2*4*H7,0)</f>
        <v>0</v>
      </c>
      <c r="AN7" s="33">
        <f>IF(K7=$P$2,(AI7+AJ7+AL7+AM7)*1.2,AI7+AJ7+AL7+AM7)</f>
        <v>0</v>
      </c>
      <c r="AO7" s="33">
        <f t="shared" ref="AO7:AO26" si="8">AN7+AK7</f>
        <v>0</v>
      </c>
      <c r="AP7" s="33"/>
      <c r="AQ7" s="33">
        <f>IF(M7=1,'Труматик гермики'!S8*'Исходные данные'!$AQ$4,IF(M7=3,'Труматик гермики'!S8*'Исходные данные'!$AQ$4,0))</f>
        <v>0</v>
      </c>
      <c r="AS7">
        <f>IF(M7=2,IF('Труматик гермики'!Q8=1,0.6*'Исходные данные'!H7,IF('Труматик гермики'!Q8=2,1.5*'Исходные данные'!H7,IF('Труматик гермики'!Q8=3,1.16*'Исходные данные'!H7,IF('Труматик гермики'!Q8=4,1.34*'Исходные данные'!H7,IF('Труматик гермики'!Q8=6,1.66*'Исходные данные'!H7,IF('Труматик гермики'!Q8=7,1.82*'Исходные данные'!H7,IF('Труматик гермики'!Q8=8,1.98*'Исходные данные'!H7,IF('Труматик гермики'!Q8=9,2.14*'Исходные данные'!H7,IF('Труматик гермики'!Q8=10,2.3*'Исходные данные'!H7,IF('Труматик гермики'!Q8=11,2.46*'Исходные данные'!H7,IF('Труматик гермики'!Q8=12,2.62*'Исходные данные'!H7,IF('Труматик гермики'!Q8=13,2.78*'Исходные данные'!H7,IF('Труматик гермики'!Q8=15,3.1*'Исходные данные'!H7,0))))))))))))),IF(M7=4,IF('Труматик гермики'!Q8=1,0.6*'Исходные данные'!H7,IF('Труматик гермики'!Q8=5,1.5*'Исходные данные'!H7,IF('Труматик гермики'!Q8=3,1.16*'Исходные данные'!H7,IF('Труматик гермики'!Q8=4,1.34*'Исходные данные'!H7,IF('Труматик гермики'!Q8=6,1.66*'Исходные данные'!H7,IF('Труматик гермики'!Q8=7,1.82*'Исходные данные'!H7,IF('Труматик гермики'!Q8=8,1.98*'Исходные данные'!H7,IF('Труматик гермики'!Q8=9,2.14*'Исходные данные'!H7,IF('Труматик гермики'!Q8=10,2.3*'Исходные данные'!H7,IF('Труматик гермики'!Q8=11,2.46*'Исходные данные'!H7,IF('Труматик гермики'!Q8=12,2.62*'Исходные данные'!H7,IF('Труматик гермики'!Q8=13,2.78*'Исходные данные'!H7,IF('Труматик гермики'!Q8=15,3.1*'Исходные данные'!H7,0))))))))))))),0))</f>
        <v>0</v>
      </c>
      <c r="AU7">
        <f>IF(M7=1,IF('Труматик гермики'!P8&lt;=2,H7*1.91,IF('Труматик гермики'!P8&lt;=4,H7*2.06,IF('Труматик гермики'!P8&lt;=5,H7*2.16,IF('Труматик гермики'!P8&lt;=6,H7*2.35,IF('Труматик гермики'!P8&lt;=7,H7*2.47,IF('Труматик гермики'!P8&lt;=8,H7*2.51,IF('Труматик гермики'!P8&lt;=10,H7*2.71,IF('Труматик гермики'!P8&lt;=16,H7*4.49,IF('Труматик гермики'!P8&lt;=20,H7*4.8,IF('Труматик гермики'!P8&lt;=24,H7*5.11,IF('Труматик гермики'!P8&lt;=32,H7*6.18,0))))))))))),IF(M7=3,IF('Труматик гермики'!P8&lt;=2,H7*1.3,IF('Труматик гермики'!P8&lt;=4,H7*1.45,IF('Труматик гермики'!P8&lt;=5,H7*1.55,IF('Труматик гермики'!P8&lt;=6,H7*1.74,IF('Труматик гермики'!P8&lt;=7,H7*1.86,IF('Труматик гермики'!P8&lt;=8,H7*1.9,IF('Труматик гермики'!P8&lt;=10,H7*2.1,IF('Труматик гермики'!P8&lt;=16,H7*3.27,IF('Труматик гермики'!P8&lt;=20,H7*3.28,IF('Труматик гермики'!P8&lt;=24,H7*3.89,IF('Труматик гермики'!P8&lt;=32,H7*4.96,0))))))))))),0))</f>
        <v>0</v>
      </c>
    </row>
    <row r="8" spans="1:49">
      <c r="A8">
        <f t="shared" ref="A8:A26" si="9">1+A7</f>
        <v>3</v>
      </c>
      <c r="B8" s="54"/>
      <c r="C8" s="1"/>
      <c r="D8" s="1"/>
      <c r="E8" s="53"/>
      <c r="F8" s="54"/>
      <c r="G8" s="55"/>
      <c r="H8" s="54"/>
      <c r="I8" s="354"/>
      <c r="J8" s="1"/>
      <c r="K8" s="416"/>
      <c r="L8" s="309" t="str">
        <f t="shared" si="0"/>
        <v>---</v>
      </c>
      <c r="M8">
        <f t="shared" ref="M8:M26" si="10">IF(D8=$N$1,1,IF(D8=$N$2,2,IF(D8=$N$3,3,IF(D8=$N$4,4,0))))</f>
        <v>0</v>
      </c>
      <c r="O8" t="str">
        <f t="shared" si="1"/>
        <v>---</v>
      </c>
      <c r="P8" t="str">
        <f t="shared" si="2"/>
        <v>---</v>
      </c>
      <c r="Q8" s="10" t="str">
        <f t="shared" si="3"/>
        <v>---</v>
      </c>
      <c r="R8" s="43" t="str">
        <f t="shared" ref="R8:R26" si="11">IF(M8=1,IF(AND(315=F8, G8=590),212,IF(AND(315=F8, G8=890),212,IF(AND(315=F8, G8=1190),212,IF(AND(315=F8, G8=1490),212,IF(AND(595=F8, G8=1727),232,IF(AND(320=F8, G8=567),232,IF(AND(595=F8, G8=1790),232,IF(AND(320=F8, G8=870),232,IF(AND(320=F8, G8=570),232,IF(AND(320=F8, G8=1170),232,IF(AND(315=F8, G8=570),212,252))))))))))),IF(M8=3,IF(AND(315=F8, G8=590),212,IF(AND(315=F8, G8=890),212,IF(AND(315=F8, G8=1190),212,IF(AND(315=F8, G8=1490),212,IF(AND(595=F8, G8=1727),232,IF(AND(320=F8, G8=567),232,IF(AND(595=F8, G8=1790),232,IF(AND(320=F8, G8=570),232,252)))))))),"---"))</f>
        <v>---</v>
      </c>
      <c r="S8" s="60" t="str">
        <f t="shared" ref="S8:S27" si="12">IF(M8=1,IF(B8&lt;400000,252,R8),IF(M8=3,IF(B8&lt;400000,252,R8),"---"))</f>
        <v>---</v>
      </c>
      <c r="T8" s="39" t="str">
        <f t="shared" ref="T8:T27" si="13">IF(C8=$M$1,1,IF(C8=$M$2,2,"---"))</f>
        <v>---</v>
      </c>
      <c r="U8" s="106"/>
      <c r="V8" s="219">
        <f t="shared" si="4"/>
        <v>0</v>
      </c>
      <c r="W8" s="39">
        <f t="shared" ref="W8:W26" si="14">IF(M8=$O$1,$W$4*H8*2,IF(M8=$O$3,$W$4*H8*2,0))</f>
        <v>0</v>
      </c>
      <c r="X8" s="39">
        <f t="shared" ref="X8:X26" si="15">IF(M8=$O$1,$X$4*H8*2,0)</f>
        <v>0</v>
      </c>
      <c r="Y8" s="39">
        <f>IF(M8=4,0,IF((AND('Задание Ножницы лента'!I11&gt;1000,'Задание Ножницы лента'!I11&lt;2000)),'Исходные данные'!$Y$3*'Исходные данные'!H8*2,IF('Задание Ножницы лента'!I11&lt;1000,$Y$4*2*H8,IF('Задание Ножницы лента'!I11&gt;2000,$Y$2*2*H8,"---"))))</f>
        <v>0</v>
      </c>
      <c r="Z8" s="39">
        <f t="shared" ref="Z8:Z26" si="16">IF(M8=$O$2,$Z$4*H8,IF(M8=$O$4,$Z$4*H8,0))</f>
        <v>0</v>
      </c>
      <c r="AA8" s="305">
        <f>IF(M8=$O$2,$AA$4*H8*'Труматик гермики'!Q9,IF(M8=$O$4,$AA$4*H8*'Труматик гермики'!Q9,0))</f>
        <v>0</v>
      </c>
      <c r="AB8" s="39">
        <f>IF(M8=4,0,IF($M$1=C8,'Труматик гермики'!P9*H8*$AB$4*2,IF($M$2=C8,'Труматик гермики'!Q9*H8*$AB$4,0)))</f>
        <v>0</v>
      </c>
      <c r="AC8" s="39">
        <f t="shared" ref="AC8:AC26" si="17">IF(M8=$O$1,$AC$4*H8*2,IF(M8=$O$3,$AC$4*H8*2,0))</f>
        <v>0</v>
      </c>
      <c r="AD8" s="30">
        <f t="shared" si="5"/>
        <v>0</v>
      </c>
      <c r="AE8" s="348">
        <f t="shared" si="6"/>
        <v>0</v>
      </c>
      <c r="AF8" s="32">
        <f t="shared" si="7"/>
        <v>0</v>
      </c>
      <c r="AI8" s="33">
        <f t="shared" ref="AI8:AI26" si="18">IF(C8=$M$1,IF(((AND(G8&gt;0,G8&lt;500))),$AI$4*2*H8,IF(((AND(G8&gt;=500,G8&lt;1000))),$AI$3*2*H8,IF(((AND(G8&gt;=1000,G8&lt;1500))),$AI$2*2*H8,IF(((AND(G8&gt;=1500,G8&lt;2000))),$AI$1*2*H8,IF(((AND(G8&gt;=2000,G8&lt;2500))),0.048*2*H8,0))))),0)</f>
        <v>0</v>
      </c>
      <c r="AJ8" s="33">
        <f t="shared" ref="AJ8:AJ26" si="19">IF(M8=$O$1,IF(((AND(G8&gt;0,G8&lt;500))),$AJ$4*2*H8,IF(((AND(G8&gt;=500,G8&lt;1000))),$AJ$3*2*H8,IF(((AND(G8&gt;=1000,G8&lt;1500))),$AJ$2*2*H8,IF(((AND(G8&gt;=1500,G8&lt;2000))),$AJ$1*2*H8,IF(((AND(G8&gt;=2000,G8&lt;2500))),0.048*2*H8,0))))),0)</f>
        <v>0</v>
      </c>
      <c r="AK8" s="33">
        <f t="shared" ref="AK8:AK26" si="20">IF(M8=4,0,$AK$4*2*H8)</f>
        <v>0</v>
      </c>
      <c r="AL8" s="33">
        <f t="shared" ref="AL8:AL26" si="21">IF(C8=$M$1,IF(((AND(G8&gt;0,G8&lt;500))),0.014*2*H8,IF(((AND(G8&gt;=500,G8&lt;1000))),0.014*2*H8,IF(((AND(G8&gt;=1000,G8&lt;1500))),0.014*2*H8,IF(((AND(G8&gt;=1500,G8&lt;2000))),0.015*2*H8,IF(((AND(G8&gt;=2000,G8&lt;2500))),0.015*2*H8,0))))),0)</f>
        <v>0</v>
      </c>
      <c r="AM8" s="33">
        <f t="shared" ref="AM8:AM12" si="22">IF(AJ8&gt;0,0.004*2*4*H8,0)</f>
        <v>0</v>
      </c>
      <c r="AN8" s="33">
        <f t="shared" ref="AN8:AN26" si="23">IF(K8=$P$2,(AI8+AJ8+AL8+AM8)*1.2,AI8+AJ8+AL8+AM8)</f>
        <v>0</v>
      </c>
      <c r="AO8" s="33">
        <f t="shared" si="8"/>
        <v>0</v>
      </c>
      <c r="AP8" s="33"/>
      <c r="AQ8" s="33">
        <f>IF(M8=1,'Труматик гермики'!S9*'Исходные данные'!$AQ$4,IF(M8=3,'Труматик гермики'!S9*'Исходные данные'!$AQ$4,0))</f>
        <v>0</v>
      </c>
      <c r="AS8">
        <f>IF(M8=2,IF('Труматик гермики'!Q9=1,0.6*'Исходные данные'!H8,IF('Труматик гермики'!Q9=2,1.5*'Исходные данные'!H8,IF('Труматик гермики'!Q9=3,1.16*'Исходные данные'!H8,IF('Труматик гермики'!Q9=4,1.34*'Исходные данные'!H8,IF('Труматик гермики'!Q9=6,1.66*'Исходные данные'!H8,IF('Труматик гермики'!Q9=7,1.82*'Исходные данные'!H8,IF('Труматик гермики'!Q9=8,1.98*'Исходные данные'!H8,IF('Труматик гермики'!Q9=9,2.14*'Исходные данные'!H8,IF('Труматик гермики'!Q9=10,2.3*'Исходные данные'!H8,IF('Труматик гермики'!Q9=11,2.46*'Исходные данные'!H8,IF('Труматик гермики'!Q9=12,2.62*'Исходные данные'!H8,IF('Труматик гермики'!Q9=13,2.78*'Исходные данные'!H8,IF('Труматик гермики'!Q9=15,3.1*'Исходные данные'!H8,0))))))))))))),IF(M8=4,IF('Труматик гермики'!Q9=1,0.6*'Исходные данные'!H8,IF('Труматик гермики'!Q9=5,1.5*'Исходные данные'!H8,IF('Труматик гермики'!Q9=3,1.16*'Исходные данные'!H8,IF('Труматик гермики'!Q9=4,1.34*'Исходные данные'!H8,IF('Труматик гермики'!Q9=6,1.66*'Исходные данные'!H8,IF('Труматик гермики'!Q9=7,1.82*'Исходные данные'!H8,IF('Труматик гермики'!Q9=8,1.98*'Исходные данные'!H8,IF('Труматик гермики'!Q9=9,2.14*'Исходные данные'!H8,IF('Труматик гермики'!Q9=10,2.3*'Исходные данные'!H8,IF('Труматик гермики'!Q9=11,2.46*'Исходные данные'!H8,IF('Труматик гермики'!Q9=12,2.62*'Исходные данные'!H8,IF('Труматик гермики'!Q9=13,2.78*'Исходные данные'!H8,IF('Труматик гермики'!Q9=15,3.1*'Исходные данные'!H8,0))))))))))))),0))</f>
        <v>0</v>
      </c>
      <c r="AU8">
        <f>IF(M8=1,IF('Труматик гермики'!P9&lt;=2,H8*1.91,IF('Труматик гермики'!P9&lt;=4,H8*2.06,IF('Труматик гермики'!P9&lt;=5,H8*2.16,IF('Труматик гермики'!P9&lt;=6,H8*2.35,IF('Труматик гермики'!P9&lt;=7,H8*2.47,IF('Труматик гермики'!P9&lt;=8,H8*2.51,IF('Труматик гермики'!P9&lt;=10,H8*2.71,IF('Труматик гермики'!P9&lt;=16,H8*4.49,IF('Труматик гермики'!P9&lt;=20,H8*4.8,IF('Труматик гермики'!P9&lt;=24,H8*5.11,IF('Труматик гермики'!P9&lt;=32,H8*6.18,0))))))))))),IF(M8=3,IF('Труматик гермики'!P9&lt;=2,H8*1.3,IF('Труматик гермики'!P9&lt;=4,H8*1.45,IF('Труматик гермики'!P9&lt;=5,H8*1.55,IF('Труматик гермики'!P9&lt;=6,H8*1.74,IF('Труматик гермики'!P9&lt;=7,H8*1.86,IF('Труматик гермики'!P9&lt;=8,H8*1.9,IF('Труматик гермики'!P9&lt;=10,H8*2.1,IF('Труматик гермики'!P9&lt;=16,H8*3.27,IF('Труматик гермики'!P9&lt;=20,H8*3.28,IF('Труматик гермики'!P9&lt;=24,H8*3.89,IF('Труматик гермики'!P9&lt;=32,H8*4.96,0))))))))))),0))</f>
        <v>0</v>
      </c>
    </row>
    <row r="9" spans="1:49">
      <c r="A9">
        <f t="shared" si="9"/>
        <v>4</v>
      </c>
      <c r="B9" s="54"/>
      <c r="C9" s="1"/>
      <c r="D9" s="1"/>
      <c r="E9" s="53"/>
      <c r="F9" s="54"/>
      <c r="G9" s="55"/>
      <c r="H9" s="54"/>
      <c r="I9" s="354"/>
      <c r="J9" s="1"/>
      <c r="K9" s="416"/>
      <c r="L9" s="309" t="str">
        <f t="shared" si="0"/>
        <v>---</v>
      </c>
      <c r="M9">
        <f t="shared" si="10"/>
        <v>0</v>
      </c>
      <c r="O9" t="str">
        <f t="shared" si="1"/>
        <v>---</v>
      </c>
      <c r="P9" t="str">
        <f t="shared" si="2"/>
        <v>---</v>
      </c>
      <c r="Q9" s="10" t="str">
        <f t="shared" si="3"/>
        <v>---</v>
      </c>
      <c r="R9" s="43" t="str">
        <f t="shared" si="11"/>
        <v>---</v>
      </c>
      <c r="S9" s="60" t="str">
        <f t="shared" si="12"/>
        <v>---</v>
      </c>
      <c r="T9" s="39" t="str">
        <f t="shared" si="13"/>
        <v>---</v>
      </c>
      <c r="U9" s="106"/>
      <c r="V9" s="219">
        <f t="shared" si="4"/>
        <v>0</v>
      </c>
      <c r="W9" s="39">
        <f t="shared" si="14"/>
        <v>0</v>
      </c>
      <c r="X9" s="39">
        <f t="shared" si="15"/>
        <v>0</v>
      </c>
      <c r="Y9" s="39">
        <f>IF(M9=4,0,IF((AND('Задание Ножницы лента'!I12&gt;1000,'Задание Ножницы лента'!I12&lt;2000)),'Исходные данные'!$Y$3*'Исходные данные'!H9*2,IF('Задание Ножницы лента'!I12&lt;1000,$Y$4*2*H9,IF('Задание Ножницы лента'!I12&gt;2000,$Y$2*2*H9,"---"))))</f>
        <v>0</v>
      </c>
      <c r="Z9" s="39">
        <f t="shared" si="16"/>
        <v>0</v>
      </c>
      <c r="AA9" s="305">
        <f>IF(M9=$O$2,$AA$4*H9*'Труматик гермики'!Q10,IF(M9=$O$4,$AA$4*H9*'Труматик гермики'!Q10,0))</f>
        <v>0</v>
      </c>
      <c r="AB9" s="39">
        <f>IF(M9=4,0,IF($M$1=C9,'Труматик гермики'!P10*H9*$AB$4*2,IF($M$2=C9,'Труматик гермики'!Q10*H9*$AB$4,0)))</f>
        <v>0</v>
      </c>
      <c r="AC9" s="39">
        <f t="shared" si="17"/>
        <v>0</v>
      </c>
      <c r="AD9" s="30">
        <f t="shared" si="5"/>
        <v>0</v>
      </c>
      <c r="AE9" s="348">
        <f t="shared" si="6"/>
        <v>0</v>
      </c>
      <c r="AF9" s="32">
        <f t="shared" si="7"/>
        <v>0</v>
      </c>
      <c r="AI9" s="33">
        <f t="shared" si="18"/>
        <v>0</v>
      </c>
      <c r="AJ9" s="33">
        <f t="shared" si="19"/>
        <v>0</v>
      </c>
      <c r="AK9" s="33">
        <f t="shared" si="20"/>
        <v>0</v>
      </c>
      <c r="AL9" s="33">
        <f t="shared" si="21"/>
        <v>0</v>
      </c>
      <c r="AM9" s="33">
        <f t="shared" si="22"/>
        <v>0</v>
      </c>
      <c r="AN9" s="33">
        <f t="shared" si="23"/>
        <v>0</v>
      </c>
      <c r="AO9" s="33">
        <f t="shared" si="8"/>
        <v>0</v>
      </c>
      <c r="AP9" s="33"/>
      <c r="AQ9" s="33">
        <f>IF(M9=1,'Труматик гермики'!S10*'Исходные данные'!$AQ$4,IF(M9=3,'Труматик гермики'!S10*'Исходные данные'!$AQ$4,0))</f>
        <v>0</v>
      </c>
      <c r="AS9">
        <f>IF(M9=2,IF('Труматик гермики'!Q10=1,0.6*'Исходные данные'!H9,IF('Труматик гермики'!Q10=2,1.5*'Исходные данные'!H9,IF('Труматик гермики'!Q10=3,1.16*'Исходные данные'!H9,IF('Труматик гермики'!Q10=4,1.34*'Исходные данные'!H9,IF('Труматик гермики'!Q10=6,1.66*'Исходные данные'!H9,IF('Труматик гермики'!Q10=7,1.82*'Исходные данные'!H9,IF('Труматик гермики'!Q10=8,1.98*'Исходные данные'!H9,IF('Труматик гермики'!Q10=9,2.14*'Исходные данные'!H9,IF('Труматик гермики'!Q10=10,2.3*'Исходные данные'!H9,IF('Труматик гермики'!Q10=11,2.46*'Исходные данные'!H9,IF('Труматик гермики'!Q10=12,2.62*'Исходные данные'!H9,IF('Труматик гермики'!Q10=13,2.78*'Исходные данные'!H9,IF('Труматик гермики'!Q10=15,3.1*'Исходные данные'!H9,0))))))))))))),IF(M9=4,IF('Труматик гермики'!Q10=1,0.6*'Исходные данные'!H9,IF('Труматик гермики'!Q10=5,1.5*'Исходные данные'!H9,IF('Труматик гермики'!Q10=3,1.16*'Исходные данные'!H9,IF('Труматик гермики'!Q10=4,1.34*'Исходные данные'!H9,IF('Труматик гермики'!Q10=6,1.66*'Исходные данные'!H9,IF('Труматик гермики'!Q10=7,1.82*'Исходные данные'!H9,IF('Труматик гермики'!Q10=8,1.98*'Исходные данные'!H9,IF('Труматик гермики'!Q10=9,2.14*'Исходные данные'!H9,IF('Труматик гермики'!Q10=10,2.3*'Исходные данные'!H9,IF('Труматик гермики'!Q10=11,2.46*'Исходные данные'!H9,IF('Труматик гермики'!Q10=12,2.62*'Исходные данные'!H9,IF('Труматик гермики'!Q10=13,2.78*'Исходные данные'!H9,IF('Труматик гермики'!Q10=15,3.1*'Исходные данные'!H9,0))))))))))))),0))</f>
        <v>0</v>
      </c>
      <c r="AU9">
        <f>IF(M9=1,IF('Труматик гермики'!P10&lt;=2,H9*1.91,IF('Труматик гермики'!P10&lt;=4,H9*2.06,IF('Труматик гермики'!P10&lt;=5,H9*2.16,IF('Труматик гермики'!P10&lt;=6,H9*2.35,IF('Труматик гермики'!P10&lt;=7,H9*2.47,IF('Труматик гермики'!P10&lt;=8,H9*2.51,IF('Труматик гермики'!P10&lt;=10,H9*2.71,IF('Труматик гермики'!P10&lt;=16,H9*4.49,IF('Труматик гермики'!P10&lt;=20,H9*4.8,IF('Труматик гермики'!P10&lt;=24,H9*5.11,IF('Труматик гермики'!P10&lt;=32,H9*6.18,0))))))))))),IF(M9=3,IF('Труматик гермики'!P10&lt;=2,H9*1.3,IF('Труматик гермики'!P10&lt;=4,H9*1.45,IF('Труматик гермики'!P10&lt;=5,H9*1.55,IF('Труматик гермики'!P10&lt;=6,H9*1.74,IF('Труматик гермики'!P10&lt;=7,H9*1.86,IF('Труматик гермики'!P10&lt;=8,H9*1.9,IF('Труматик гермики'!P10&lt;=10,H9*2.1,IF('Труматик гермики'!P10&lt;=16,H9*3.27,IF('Труматик гермики'!P10&lt;=20,H9*3.28,IF('Труматик гермики'!P10&lt;=24,H9*3.89,IF('Труматик гермики'!P10&lt;=32,H9*4.96,0))))))))))),0))</f>
        <v>0</v>
      </c>
    </row>
    <row r="10" spans="1:49">
      <c r="A10">
        <f t="shared" si="9"/>
        <v>5</v>
      </c>
      <c r="B10" s="54"/>
      <c r="C10" s="1"/>
      <c r="D10" s="1"/>
      <c r="E10" s="53"/>
      <c r="F10" s="54"/>
      <c r="G10" s="55"/>
      <c r="H10" s="54"/>
      <c r="I10" s="171"/>
      <c r="J10" s="1"/>
      <c r="K10" s="414"/>
      <c r="L10" s="309" t="str">
        <f t="shared" si="0"/>
        <v>---</v>
      </c>
      <c r="M10">
        <f t="shared" si="10"/>
        <v>0</v>
      </c>
      <c r="O10" t="str">
        <f t="shared" si="1"/>
        <v>---</v>
      </c>
      <c r="P10" t="str">
        <f t="shared" si="2"/>
        <v>---</v>
      </c>
      <c r="Q10" s="10" t="str">
        <f t="shared" si="3"/>
        <v>---</v>
      </c>
      <c r="R10" s="43" t="str">
        <f t="shared" si="11"/>
        <v>---</v>
      </c>
      <c r="S10" s="60" t="str">
        <f t="shared" si="12"/>
        <v>---</v>
      </c>
      <c r="T10" s="39" t="str">
        <f t="shared" si="13"/>
        <v>---</v>
      </c>
      <c r="U10" s="106"/>
      <c r="V10" s="219">
        <f t="shared" si="4"/>
        <v>0</v>
      </c>
      <c r="W10" s="39">
        <f t="shared" si="14"/>
        <v>0</v>
      </c>
      <c r="X10" s="39">
        <f t="shared" si="15"/>
        <v>0</v>
      </c>
      <c r="Y10" s="39">
        <f>IF(M10=4,0,IF((AND('Задание Ножницы лента'!I13&gt;1000,'Задание Ножницы лента'!I13&lt;2000)),'Исходные данные'!$Y$3*'Исходные данные'!H10*2,IF('Задание Ножницы лента'!I13&lt;1000,$Y$4*2*H10,IF('Задание Ножницы лента'!I13&gt;2000,$Y$2*2*H10,"---"))))</f>
        <v>0</v>
      </c>
      <c r="Z10" s="39">
        <f t="shared" si="16"/>
        <v>0</v>
      </c>
      <c r="AA10" s="305">
        <f>IF(M10=$O$2,$AA$4*H10*'Труматик гермики'!Q11,IF(M10=$O$4,$AA$4*H10*'Труматик гермики'!Q11,0))</f>
        <v>0</v>
      </c>
      <c r="AB10" s="39">
        <f>IF(M10=4,0,IF($M$1=C10,'Труматик гермики'!P11*H10*$AB$4*2,IF($M$2=C10,'Труматик гермики'!Q11*H10*$AB$4,0)))</f>
        <v>0</v>
      </c>
      <c r="AC10" s="39">
        <f t="shared" si="17"/>
        <v>0</v>
      </c>
      <c r="AD10" s="30">
        <f t="shared" si="5"/>
        <v>0</v>
      </c>
      <c r="AE10" s="348">
        <f t="shared" si="6"/>
        <v>0</v>
      </c>
      <c r="AF10" s="32">
        <f t="shared" si="7"/>
        <v>0</v>
      </c>
      <c r="AI10" s="33">
        <f t="shared" si="18"/>
        <v>0</v>
      </c>
      <c r="AJ10" s="33">
        <f t="shared" si="19"/>
        <v>0</v>
      </c>
      <c r="AK10" s="33">
        <f t="shared" si="20"/>
        <v>0</v>
      </c>
      <c r="AL10" s="33">
        <f t="shared" si="21"/>
        <v>0</v>
      </c>
      <c r="AM10" s="33">
        <f t="shared" si="22"/>
        <v>0</v>
      </c>
      <c r="AN10" s="33">
        <f t="shared" si="23"/>
        <v>0</v>
      </c>
      <c r="AO10" s="33">
        <f t="shared" si="8"/>
        <v>0</v>
      </c>
      <c r="AP10" s="33"/>
      <c r="AQ10" s="33">
        <f>IF(M10=1,'Труматик гермики'!S11*'Исходные данные'!$AQ$4,IF(M10=3,'Труматик гермики'!S11*'Исходные данные'!$AQ$4,0))</f>
        <v>0</v>
      </c>
      <c r="AS10">
        <f>IF(M10=2,IF('Труматик гермики'!Q11=1,0.6*'Исходные данные'!H10,IF('Труматик гермики'!Q11=2,1.5*'Исходные данные'!H10,IF('Труматик гермики'!Q11=3,1.16*'Исходные данные'!H10,IF('Труматик гермики'!Q11=4,1.34*'Исходные данные'!H10,IF('Труматик гермики'!Q11=6,1.66*'Исходные данные'!H10,IF('Труматик гермики'!Q11=7,1.82*'Исходные данные'!H10,IF('Труматик гермики'!Q11=8,1.98*'Исходные данные'!H10,IF('Труматик гермики'!Q11=9,2.14*'Исходные данные'!H10,IF('Труматик гермики'!Q11=10,2.3*'Исходные данные'!H10,IF('Труматик гермики'!Q11=11,2.46*'Исходные данные'!H10,IF('Труматик гермики'!Q11=12,2.62*'Исходные данные'!H10,IF('Труматик гермики'!Q11=13,2.78*'Исходные данные'!H10,IF('Труматик гермики'!Q11=15,3.1*'Исходные данные'!H10,0))))))))))))),IF(M10=4,IF('Труматик гермики'!Q11=1,0.6*'Исходные данные'!H10,IF('Труматик гермики'!Q11=5,1.5*'Исходные данные'!H10,IF('Труматик гермики'!Q11=3,1.16*'Исходные данные'!H10,IF('Труматик гермики'!Q11=4,1.34*'Исходные данные'!H10,IF('Труматик гермики'!Q11=6,1.66*'Исходные данные'!H10,IF('Труматик гермики'!Q11=7,1.82*'Исходные данные'!H10,IF('Труматик гермики'!Q11=8,1.98*'Исходные данные'!H10,IF('Труматик гермики'!Q11=9,2.14*'Исходные данные'!H10,IF('Труматик гермики'!Q11=10,2.3*'Исходные данные'!H10,IF('Труматик гермики'!Q11=11,2.46*'Исходные данные'!H10,IF('Труматик гермики'!Q11=12,2.62*'Исходные данные'!H10,IF('Труматик гермики'!Q11=13,2.78*'Исходные данные'!H10,IF('Труматик гермики'!Q11=15,3.1*'Исходные данные'!H10,0))))))))))))),0))</f>
        <v>0</v>
      </c>
      <c r="AU10">
        <f>IF(M10=1,IF('Труматик гермики'!P11&lt;=2,H10*1.91,IF('Труматик гермики'!P11&lt;=4,H10*2.06,IF('Труматик гермики'!P11&lt;=5,H10*2.16,IF('Труматик гермики'!P11&lt;=6,H10*2.35,IF('Труматик гермики'!P11&lt;=7,H10*2.47,IF('Труматик гермики'!P11&lt;=8,H10*2.51,IF('Труматик гермики'!P11&lt;=10,H10*2.71,IF('Труматик гермики'!P11&lt;=16,H10*4.49,IF('Труматик гермики'!P11&lt;=20,H10*4.8,IF('Труматик гермики'!P11&lt;=24,H10*5.11,IF('Труматик гермики'!P11&lt;=32,H10*6.18,0))))))))))),IF(M10=3,IF('Труматик гермики'!P11&lt;=2,H10*1.3,IF('Труматик гермики'!P11&lt;=4,H10*1.45,IF('Труматик гермики'!P11&lt;=5,H10*1.55,IF('Труматик гермики'!P11&lt;=6,H10*1.74,IF('Труматик гермики'!P11&lt;=7,H10*1.86,IF('Труматик гермики'!P11&lt;=8,H10*1.9,IF('Труматик гермики'!P11&lt;=10,H10*2.1,IF('Труматик гермики'!P11&lt;=16,H10*3.27,IF('Труматик гермики'!P11&lt;=20,H10*3.28,IF('Труматик гермики'!P11&lt;=24,H10*3.89,IF('Труматик гермики'!P11&lt;=32,H10*4.96,0))))))))))),0))</f>
        <v>0</v>
      </c>
    </row>
    <row r="11" spans="1:49">
      <c r="A11">
        <f t="shared" si="9"/>
        <v>6</v>
      </c>
      <c r="B11" s="54"/>
      <c r="C11" s="1"/>
      <c r="D11" s="1"/>
      <c r="E11" s="53"/>
      <c r="F11" s="54"/>
      <c r="G11" s="55"/>
      <c r="H11" s="54"/>
      <c r="I11" s="171"/>
      <c r="J11" s="1"/>
      <c r="K11" s="414"/>
      <c r="L11" s="309" t="str">
        <f t="shared" si="0"/>
        <v>---</v>
      </c>
      <c r="M11">
        <f t="shared" si="10"/>
        <v>0</v>
      </c>
      <c r="O11" t="str">
        <f t="shared" si="1"/>
        <v>---</v>
      </c>
      <c r="P11" t="str">
        <f t="shared" si="2"/>
        <v>---</v>
      </c>
      <c r="Q11" s="10" t="str">
        <f t="shared" si="3"/>
        <v>---</v>
      </c>
      <c r="R11" s="43" t="str">
        <f t="shared" si="11"/>
        <v>---</v>
      </c>
      <c r="S11" s="60" t="str">
        <f t="shared" si="12"/>
        <v>---</v>
      </c>
      <c r="T11" s="39" t="str">
        <f t="shared" si="13"/>
        <v>---</v>
      </c>
      <c r="U11" s="106"/>
      <c r="V11" s="219">
        <f t="shared" si="4"/>
        <v>0</v>
      </c>
      <c r="W11" s="39">
        <f t="shared" si="14"/>
        <v>0</v>
      </c>
      <c r="X11" s="39">
        <f t="shared" si="15"/>
        <v>0</v>
      </c>
      <c r="Y11" s="39">
        <f>IF(M11=4,0,IF((AND('Задание Ножницы лента'!I14&gt;1000,'Задание Ножницы лента'!I14&lt;2000)),'Исходные данные'!$Y$3*'Исходные данные'!H11*2,IF('Задание Ножницы лента'!I14&lt;1000,$Y$4*2*H11,IF('Задание Ножницы лента'!I14&gt;2000,$Y$2*2*H11,"---"))))</f>
        <v>0</v>
      </c>
      <c r="Z11" s="39">
        <f t="shared" si="16"/>
        <v>0</v>
      </c>
      <c r="AA11" s="305">
        <f>IF(M11=$O$2,$AA$4*H11*'Труматик гермики'!Q12,IF(M11=$O$4,$AA$4*H11*'Труматик гермики'!Q12,0))</f>
        <v>0</v>
      </c>
      <c r="AB11" s="39">
        <f>IF(M11=4,0,IF($M$1=C11,'Труматик гермики'!P12*H11*$AB$4*2,IF($M$2=C11,'Труматик гермики'!Q12*H11*$AB$4,0)))</f>
        <v>0</v>
      </c>
      <c r="AC11" s="39">
        <f t="shared" si="17"/>
        <v>0</v>
      </c>
      <c r="AD11" s="30">
        <f t="shared" si="5"/>
        <v>0</v>
      </c>
      <c r="AE11" s="348">
        <f t="shared" si="6"/>
        <v>0</v>
      </c>
      <c r="AF11" s="32">
        <f t="shared" si="7"/>
        <v>0</v>
      </c>
      <c r="AI11" s="33">
        <f t="shared" si="18"/>
        <v>0</v>
      </c>
      <c r="AJ11" s="33">
        <f t="shared" si="19"/>
        <v>0</v>
      </c>
      <c r="AK11" s="33">
        <f t="shared" si="20"/>
        <v>0</v>
      </c>
      <c r="AL11" s="33">
        <f t="shared" si="21"/>
        <v>0</v>
      </c>
      <c r="AM11" s="33">
        <f t="shared" si="22"/>
        <v>0</v>
      </c>
      <c r="AN11" s="33">
        <f t="shared" si="23"/>
        <v>0</v>
      </c>
      <c r="AO11" s="33">
        <f t="shared" si="8"/>
        <v>0</v>
      </c>
      <c r="AP11" s="33"/>
      <c r="AQ11" s="33">
        <f>IF(M11=1,'Труматик гермики'!S12*'Исходные данные'!$AQ$4,IF(M11=3,'Труматик гермики'!S12*'Исходные данные'!$AQ$4,0))</f>
        <v>0</v>
      </c>
      <c r="AS11">
        <f>IF(M11=2,IF('Труматик гермики'!Q12=1,0.6*'Исходные данные'!H11,IF('Труматик гермики'!Q12=2,1.5*'Исходные данные'!H11,IF('Труматик гермики'!Q12=3,1.16*'Исходные данные'!H11,IF('Труматик гермики'!Q12=4,1.34*'Исходные данные'!H11,IF('Труматик гермики'!Q12=6,1.66*'Исходные данные'!H11,IF('Труматик гермики'!Q12=7,1.82*'Исходные данные'!H11,IF('Труматик гермики'!Q12=8,1.98*'Исходные данные'!H11,IF('Труматик гермики'!Q12=9,2.14*'Исходные данные'!H11,IF('Труматик гермики'!Q12=10,2.3*'Исходные данные'!H11,IF('Труматик гермики'!Q12=11,2.46*'Исходные данные'!H11,IF('Труматик гермики'!Q12=12,2.62*'Исходные данные'!H11,IF('Труматик гермики'!Q12=13,2.78*'Исходные данные'!H11,IF('Труматик гермики'!Q12=15,3.1*'Исходные данные'!H11,0))))))))))))),IF(M11=4,IF('Труматик гермики'!Q12=1,0.6*'Исходные данные'!H11,IF('Труматик гермики'!Q12=5,1.5*'Исходные данные'!H11,IF('Труматик гермики'!Q12=3,1.16*'Исходные данные'!H11,IF('Труматик гермики'!Q12=4,1.34*'Исходные данные'!H11,IF('Труматик гермики'!Q12=6,1.66*'Исходные данные'!H11,IF('Труматик гермики'!Q12=7,1.82*'Исходные данные'!H11,IF('Труматик гермики'!Q12=8,1.98*'Исходные данные'!H11,IF('Труматик гермики'!Q12=9,2.14*'Исходные данные'!H11,IF('Труматик гермики'!Q12=10,2.3*'Исходные данные'!H11,IF('Труматик гермики'!Q12=11,2.46*'Исходные данные'!H11,IF('Труматик гермики'!Q12=12,2.62*'Исходные данные'!H11,IF('Труматик гермики'!Q12=13,2.78*'Исходные данные'!H11,IF('Труматик гермики'!Q12=15,3.1*'Исходные данные'!H11,0))))))))))))),0))</f>
        <v>0</v>
      </c>
      <c r="AU11">
        <f>IF(M11=1,IF('Труматик гермики'!P12&lt;=2,H11*1.91,IF('Труматик гермики'!P12&lt;=4,H11*2.06,IF('Труматик гермики'!P12&lt;=5,H11*2.16,IF('Труматик гермики'!P12&lt;=6,H11*2.35,IF('Труматик гермики'!P12&lt;=7,H11*2.47,IF('Труматик гермики'!P12&lt;=8,H11*2.51,IF('Труматик гермики'!P12&lt;=10,H11*2.71,IF('Труматик гермики'!P12&lt;=16,H11*4.49,IF('Труматик гермики'!P12&lt;=20,H11*4.8,IF('Труматик гермики'!P12&lt;=24,H11*5.11,IF('Труматик гермики'!P12&lt;=32,H11*6.18,0))))))))))),IF(M11=3,IF('Труматик гермики'!P12&lt;=2,H11*1.3,IF('Труматик гермики'!P12&lt;=4,H11*1.45,IF('Труматик гермики'!P12&lt;=5,H11*1.55,IF('Труматик гермики'!P12&lt;=6,H11*1.74,IF('Труматик гермики'!P12&lt;=7,H11*1.86,IF('Труматик гермики'!P12&lt;=8,H11*1.9,IF('Труматик гермики'!P12&lt;=10,H11*2.1,IF('Труматик гермики'!P12&lt;=16,H11*3.27,IF('Труматик гермики'!P12&lt;=20,H11*3.28,IF('Труматик гермики'!P12&lt;=24,H11*3.89,IF('Труматик гермики'!P12&lt;=32,H11*4.96,0))))))))))),0))</f>
        <v>0</v>
      </c>
    </row>
    <row r="12" spans="1:49">
      <c r="A12">
        <f t="shared" si="9"/>
        <v>7</v>
      </c>
      <c r="B12" s="54"/>
      <c r="C12" s="1"/>
      <c r="D12" s="1"/>
      <c r="E12" s="53"/>
      <c r="F12" s="54"/>
      <c r="G12" s="55"/>
      <c r="H12" s="54"/>
      <c r="I12" s="171" t="str">
        <f t="shared" ref="I12" si="24">IF(F12&gt;0,G12+3,"---")</f>
        <v>---</v>
      </c>
      <c r="J12" s="1"/>
      <c r="K12" s="372"/>
      <c r="L12" s="309" t="str">
        <f t="shared" si="0"/>
        <v>---</v>
      </c>
      <c r="M12">
        <f t="shared" si="10"/>
        <v>0</v>
      </c>
      <c r="O12" t="str">
        <f t="shared" si="1"/>
        <v>---</v>
      </c>
      <c r="P12" t="str">
        <f t="shared" si="2"/>
        <v>---</v>
      </c>
      <c r="Q12" s="10" t="str">
        <f t="shared" si="3"/>
        <v>---</v>
      </c>
      <c r="R12" s="43" t="str">
        <f t="shared" si="11"/>
        <v>---</v>
      </c>
      <c r="S12" s="60" t="str">
        <f t="shared" si="12"/>
        <v>---</v>
      </c>
      <c r="T12" s="39" t="str">
        <f t="shared" si="13"/>
        <v>---</v>
      </c>
      <c r="U12" s="106"/>
      <c r="V12" s="219">
        <f t="shared" si="4"/>
        <v>0</v>
      </c>
      <c r="W12" s="39">
        <f t="shared" si="14"/>
        <v>0</v>
      </c>
      <c r="X12" s="39">
        <f t="shared" si="15"/>
        <v>0</v>
      </c>
      <c r="Y12" s="39">
        <f>IF(M12=4,0,IF((AND('Задание Ножницы лента'!I15&gt;1000,'Задание Ножницы лента'!I15&lt;2000)),'Исходные данные'!$Y$3*'Исходные данные'!H12*2,IF('Задание Ножницы лента'!I15&lt;1000,$Y$4*2*H12,IF('Задание Ножницы лента'!I15&gt;2000,$Y$2*2*H12,"---"))))</f>
        <v>0</v>
      </c>
      <c r="Z12" s="39">
        <f t="shared" si="16"/>
        <v>0</v>
      </c>
      <c r="AA12" s="305">
        <f>IF(M12=$O$2,$AA$4*H12*'Труматик гермики'!Q13,IF(M12=$O$4,$AA$4*H12*'Труматик гермики'!Q13,0))</f>
        <v>0</v>
      </c>
      <c r="AB12" s="39">
        <f>IF(M12=4,0,IF($M$1=C12,'Труматик гермики'!P13*H12*$AB$4*2,IF($M$2=C12,'Труматик гермики'!Q13*H12*$AB$4,0)))</f>
        <v>0</v>
      </c>
      <c r="AC12" s="39">
        <f t="shared" si="17"/>
        <v>0</v>
      </c>
      <c r="AD12" s="30">
        <f t="shared" si="5"/>
        <v>0</v>
      </c>
      <c r="AE12" s="348">
        <f t="shared" si="6"/>
        <v>0</v>
      </c>
      <c r="AF12" s="32">
        <f t="shared" si="7"/>
        <v>0</v>
      </c>
      <c r="AI12" s="33">
        <f t="shared" si="18"/>
        <v>0</v>
      </c>
      <c r="AJ12" s="33">
        <f t="shared" si="19"/>
        <v>0</v>
      </c>
      <c r="AK12" s="33">
        <f t="shared" si="20"/>
        <v>0</v>
      </c>
      <c r="AL12" s="33">
        <f t="shared" si="21"/>
        <v>0</v>
      </c>
      <c r="AM12" s="33">
        <f t="shared" si="22"/>
        <v>0</v>
      </c>
      <c r="AN12" s="33">
        <f t="shared" si="23"/>
        <v>0</v>
      </c>
      <c r="AO12" s="33">
        <f t="shared" si="8"/>
        <v>0</v>
      </c>
      <c r="AP12" s="33"/>
      <c r="AQ12" s="33">
        <f>IF(M12=1,'Труматик гермики'!S13*'Исходные данные'!$AQ$4,IF(M12=3,'Труматик гермики'!S13*'Исходные данные'!$AQ$4,0))</f>
        <v>0</v>
      </c>
      <c r="AS12">
        <f>IF(M12=2,IF('Труматик гермики'!Q13=1,0.6*'Исходные данные'!H12,IF('Труматик гермики'!Q13=2,1.5*'Исходные данные'!H12,IF('Труматик гермики'!Q13=3,1.16*'Исходные данные'!H12,IF('Труматик гермики'!Q13=4,1.34*'Исходные данные'!H12,IF('Труматик гермики'!Q13=6,1.66*'Исходные данные'!H12,IF('Труматик гермики'!Q13=7,1.82*'Исходные данные'!H12,IF('Труматик гермики'!Q13=8,1.98*'Исходные данные'!H12,IF('Труматик гермики'!Q13=9,2.14*'Исходные данные'!H12,IF('Труматик гермики'!Q13=10,2.3*'Исходные данные'!H12,IF('Труматик гермики'!Q13=11,2.46*'Исходные данные'!H12,IF('Труматик гермики'!Q13=12,2.62*'Исходные данные'!H12,IF('Труматик гермики'!Q13=13,2.78*'Исходные данные'!H12,IF('Труматик гермики'!Q13=15,3.1*'Исходные данные'!H12,0))))))))))))),IF(M12=4,IF('Труматик гермики'!Q13=1,0.6*'Исходные данные'!H12,IF('Труматик гермики'!Q13=5,1.5*'Исходные данные'!H12,IF('Труматик гермики'!Q13=3,1.16*'Исходные данные'!H12,IF('Труматик гермики'!Q13=4,1.34*'Исходные данные'!H12,IF('Труматик гермики'!Q13=6,1.66*'Исходные данные'!H12,IF('Труматик гермики'!Q13=7,1.82*'Исходные данные'!H12,IF('Труматик гермики'!Q13=8,1.98*'Исходные данные'!H12,IF('Труматик гермики'!Q13=9,2.14*'Исходные данные'!H12,IF('Труматик гермики'!Q13=10,2.3*'Исходные данные'!H12,IF('Труматик гермики'!Q13=11,2.46*'Исходные данные'!H12,IF('Труматик гермики'!Q13=12,2.62*'Исходные данные'!H12,IF('Труматик гермики'!Q13=13,2.78*'Исходные данные'!H12,IF('Труматик гермики'!Q13=15,3.1*'Исходные данные'!H12,0))))))))))))),0))</f>
        <v>0</v>
      </c>
      <c r="AU12">
        <f>IF(M12=1,IF('Труматик гермики'!P13&lt;=2,H12*1.91,IF('Труматик гермики'!P13&lt;=4,H12*2.06,IF('Труматик гермики'!P13&lt;=5,H12*2.16,IF('Труматик гермики'!P13&lt;=6,H12*2.35,IF('Труматик гермики'!P13&lt;=7,H12*2.47,IF('Труматик гермики'!P13&lt;=8,H12*2.51,IF('Труматик гермики'!P13&lt;=10,H12*2.71,IF('Труматик гермики'!P13&lt;=16,H12*4.49,IF('Труматик гермики'!P13&lt;=20,H12*4.8,IF('Труматик гермики'!P13&lt;=24,H12*5.11,IF('Труматик гермики'!P13&lt;=32,H12*6.18,0))))))))))),IF(M12=3,IF('Труматик гермики'!P13&lt;=2,H12*1.3,IF('Труматик гермики'!P13&lt;=4,H12*1.45,IF('Труматик гермики'!P13&lt;=5,H12*1.55,IF('Труматик гермики'!P13&lt;=6,H12*1.74,IF('Труматик гермики'!P13&lt;=7,H12*1.86,IF('Труматик гермики'!P13&lt;=8,H12*1.9,IF('Труматик гермики'!P13&lt;=10,H12*2.1,IF('Труматик гермики'!P13&lt;=16,H12*3.27,IF('Труматик гермики'!P13&lt;=20,H12*3.28,IF('Труматик гермики'!P13&lt;=24,H12*3.89,IF('Труматик гермики'!P13&lt;=32,H12*4.96,0))))))))))),0))</f>
        <v>0</v>
      </c>
    </row>
    <row r="13" spans="1:49">
      <c r="A13">
        <f t="shared" si="9"/>
        <v>8</v>
      </c>
      <c r="B13" s="54"/>
      <c r="C13" s="1"/>
      <c r="D13" s="1"/>
      <c r="E13" s="53"/>
      <c r="F13" s="54"/>
      <c r="G13" s="55"/>
      <c r="H13" s="54"/>
      <c r="I13" s="168" t="str">
        <f t="shared" ref="I13:I26" si="25">IF(F13&gt;0,G13+3,"---")</f>
        <v>---</v>
      </c>
      <c r="J13" s="1"/>
      <c r="K13" s="87"/>
      <c r="L13" s="309" t="str">
        <f t="shared" si="0"/>
        <v>---</v>
      </c>
      <c r="M13">
        <f t="shared" si="10"/>
        <v>0</v>
      </c>
      <c r="O13" t="str">
        <f t="shared" si="1"/>
        <v>---</v>
      </c>
      <c r="P13" t="str">
        <f t="shared" si="2"/>
        <v>---</v>
      </c>
      <c r="Q13" s="10" t="str">
        <f t="shared" si="3"/>
        <v>---</v>
      </c>
      <c r="R13" s="43" t="str">
        <f t="shared" si="11"/>
        <v>---</v>
      </c>
      <c r="S13" s="60" t="str">
        <f t="shared" si="12"/>
        <v>---</v>
      </c>
      <c r="T13" s="39" t="str">
        <f t="shared" si="13"/>
        <v>---</v>
      </c>
      <c r="U13" s="106"/>
      <c r="V13" s="219">
        <f t="shared" si="4"/>
        <v>0</v>
      </c>
      <c r="W13" s="39">
        <f t="shared" si="14"/>
        <v>0</v>
      </c>
      <c r="X13" s="39">
        <f t="shared" si="15"/>
        <v>0</v>
      </c>
      <c r="Y13" s="39">
        <f>IF(M13=4,0,IF((AND('Задание Ножницы лента'!I16&gt;1000,'Задание Ножницы лента'!I16&lt;2000)),'Исходные данные'!$Y$3*'Исходные данные'!H13*2,IF('Задание Ножницы лента'!I16&lt;1000,$Y$4*2*H13,IF('Задание Ножницы лента'!I16&gt;2000,$Y$2*2*H13,"---"))))</f>
        <v>0</v>
      </c>
      <c r="Z13" s="39">
        <f t="shared" si="16"/>
        <v>0</v>
      </c>
      <c r="AA13" s="305">
        <f>IF(M13=$O$2,$AA$4*H13*'Труматик гермики'!Q14,IF(M13=$O$4,$AA$4*H13*'Труматик гермики'!Q14,0))</f>
        <v>0</v>
      </c>
      <c r="AB13" s="39">
        <f>IF(M13=4,0,IF($M$1=C13,'Труматик гермики'!P14*H13*$AB$4*2,IF($M$2=C13,'Труматик гермики'!Q14*H13*$AB$4,0)))</f>
        <v>0</v>
      </c>
      <c r="AC13" s="39">
        <f t="shared" si="17"/>
        <v>0</v>
      </c>
      <c r="AD13" s="30">
        <f t="shared" si="5"/>
        <v>0</v>
      </c>
      <c r="AE13" s="348">
        <f t="shared" si="6"/>
        <v>0</v>
      </c>
      <c r="AF13" s="32">
        <f t="shared" si="7"/>
        <v>0</v>
      </c>
      <c r="AI13" s="33">
        <f t="shared" si="18"/>
        <v>0</v>
      </c>
      <c r="AJ13" s="33">
        <f t="shared" si="19"/>
        <v>0</v>
      </c>
      <c r="AK13" s="33">
        <f t="shared" si="20"/>
        <v>0</v>
      </c>
      <c r="AL13" s="33">
        <f t="shared" si="21"/>
        <v>0</v>
      </c>
      <c r="AM13" s="33">
        <f t="shared" ref="AM13:AM26" si="26">IF(AJ13&gt;0,0.004*2*H13,0)</f>
        <v>0</v>
      </c>
      <c r="AN13" s="33">
        <f t="shared" si="23"/>
        <v>0</v>
      </c>
      <c r="AO13" s="33">
        <f t="shared" si="8"/>
        <v>0</v>
      </c>
      <c r="AP13" s="33"/>
      <c r="AQ13" s="33">
        <f>IF(M13=1,'Труматик гермики'!S14*'Исходные данные'!$AQ$4,IF(M13=3,'Труматик гермики'!S14*'Исходные данные'!$AQ$4,0))</f>
        <v>0</v>
      </c>
      <c r="AS13">
        <f>IF(M13=2,IF('Труматик гермики'!Q14=1,0.6*'Исходные данные'!H13,IF('Труматик гермики'!Q14=2,1.5*'Исходные данные'!H13,IF('Труматик гермики'!Q14=3,1.16*'Исходные данные'!H13,IF('Труматик гермики'!Q14=4,1.34*'Исходные данные'!H13,IF('Труматик гермики'!Q14=6,1.66*'Исходные данные'!H13,IF('Труматик гермики'!Q14=7,1.82*'Исходные данные'!H13,IF('Труматик гермики'!Q14=8,1.98*'Исходные данные'!H13,IF('Труматик гермики'!Q14=9,2.14*'Исходные данные'!H13,IF('Труматик гермики'!Q14=10,2.3*'Исходные данные'!H13,IF('Труматик гермики'!Q14=11,2.46*'Исходные данные'!H13,IF('Труматик гермики'!Q14=12,2.62*'Исходные данные'!H13,IF('Труматик гермики'!Q14=13,2.78*'Исходные данные'!H13,IF('Труматик гермики'!Q14=15,3.1*'Исходные данные'!H13,0))))))))))))),IF(M13=4,IF('Труматик гермики'!Q14=1,0.6*'Исходные данные'!H13,IF('Труматик гермики'!Q14=5,1.5*'Исходные данные'!H13,IF('Труматик гермики'!Q14=3,1.16*'Исходные данные'!H13,IF('Труматик гермики'!Q14=4,1.34*'Исходные данные'!H13,IF('Труматик гермики'!Q14=6,1.66*'Исходные данные'!H13,IF('Труматик гермики'!Q14=7,1.82*'Исходные данные'!H13,IF('Труматик гермики'!Q14=8,1.98*'Исходные данные'!H13,IF('Труматик гермики'!Q14=9,2.14*'Исходные данные'!H13,IF('Труматик гермики'!Q14=10,2.3*'Исходные данные'!H13,IF('Труматик гермики'!Q14=11,2.46*'Исходные данные'!H13,IF('Труматик гермики'!Q14=12,2.62*'Исходные данные'!H13,IF('Труматик гермики'!Q14=13,2.78*'Исходные данные'!H13,IF('Труматик гермики'!Q14=15,3.1*'Исходные данные'!H13,0))))))))))))),0))</f>
        <v>0</v>
      </c>
      <c r="AU13">
        <f>IF(M13=1,IF('Труматик гермики'!P14&lt;=2,H13*1.91,IF('Труматик гермики'!P14&lt;=4,H13*2.06,IF('Труматик гермики'!P14&lt;=5,H13*2.16,IF('Труматик гермики'!P14&lt;=6,H13*2.35,IF('Труматик гермики'!P14&lt;=7,H13*2.47,IF('Труматик гермики'!P14&lt;=8,H13*2.51,IF('Труматик гермики'!P14&lt;=10,H13*2.71,IF('Труматик гермики'!P14&lt;=16,H13*4.49,IF('Труматик гермики'!P14&lt;=20,H13*4.8,IF('Труматик гермики'!P14&lt;=24,H13*5.11,IF('Труматик гермики'!P14&lt;=32,H13*6.18,0))))))))))),IF(M13=3,IF('Труматик гермики'!P14&lt;=2,H13*1.3,IF('Труматик гермики'!P14&lt;=4,H13*1.45,IF('Труматик гермики'!P14&lt;=5,H13*1.55,IF('Труматик гермики'!P14&lt;=6,H13*1.74,IF('Труматик гермики'!P14&lt;=7,H13*1.86,IF('Труматик гермики'!P14&lt;=8,H13*1.9,IF('Труматик гермики'!P14&lt;=10,H13*2.1,IF('Труматик гермики'!P14&lt;=16,H13*3.27,IF('Труматик гермики'!P14&lt;=20,H13*3.28,IF('Труматик гермики'!P14&lt;=24,H13*3.89,IF('Труматик гермики'!P14&lt;=32,H13*4.96,0))))))))))),0))</f>
        <v>0</v>
      </c>
    </row>
    <row r="14" spans="1:49">
      <c r="A14">
        <f t="shared" si="9"/>
        <v>9</v>
      </c>
      <c r="B14" s="54"/>
      <c r="C14" s="1"/>
      <c r="D14" s="1"/>
      <c r="E14" s="53"/>
      <c r="F14" s="54"/>
      <c r="G14" s="55"/>
      <c r="H14" s="54"/>
      <c r="I14" s="168" t="str">
        <f t="shared" si="25"/>
        <v>---</v>
      </c>
      <c r="J14" s="1"/>
      <c r="K14" s="87"/>
      <c r="L14" s="309" t="str">
        <f t="shared" si="0"/>
        <v>---</v>
      </c>
      <c r="M14">
        <f t="shared" si="10"/>
        <v>0</v>
      </c>
      <c r="O14" t="str">
        <f t="shared" si="1"/>
        <v>---</v>
      </c>
      <c r="P14" t="str">
        <f t="shared" si="2"/>
        <v>---</v>
      </c>
      <c r="Q14" s="10" t="str">
        <f t="shared" si="3"/>
        <v>---</v>
      </c>
      <c r="R14" s="43" t="str">
        <f t="shared" si="11"/>
        <v>---</v>
      </c>
      <c r="S14" s="60" t="str">
        <f t="shared" si="12"/>
        <v>---</v>
      </c>
      <c r="T14" s="39" t="str">
        <f t="shared" si="13"/>
        <v>---</v>
      </c>
      <c r="U14" s="106"/>
      <c r="V14" s="219">
        <f t="shared" si="4"/>
        <v>0</v>
      </c>
      <c r="W14" s="39">
        <f t="shared" si="14"/>
        <v>0</v>
      </c>
      <c r="X14" s="39">
        <f t="shared" si="15"/>
        <v>0</v>
      </c>
      <c r="Y14" s="39">
        <f>IF(M14=4,0,IF((AND('Задание Ножницы лента'!I17&gt;1000,'Задание Ножницы лента'!I17&lt;2000)),'Исходные данные'!$Y$3*'Исходные данные'!H14*2,IF('Задание Ножницы лента'!I17&lt;1000,$Y$4*2*H14,IF('Задание Ножницы лента'!I17&gt;2000,$Y$2*2*H14,"---"))))</f>
        <v>0</v>
      </c>
      <c r="Z14" s="39">
        <f t="shared" si="16"/>
        <v>0</v>
      </c>
      <c r="AA14" s="305">
        <f>IF(M14=$O$2,$AA$4*H14*'Труматик гермики'!Q15,IF(M14=$O$4,$AA$4*H14*'Труматик гермики'!Q15,0))</f>
        <v>0</v>
      </c>
      <c r="AB14" s="39">
        <f>IF(M14=4,0,IF($M$1=C14,'Труматик гермики'!P15*H14*$AB$4*2,IF($M$2=C14,'Труматик гермики'!Q15*H14*$AB$4,0)))</f>
        <v>0</v>
      </c>
      <c r="AC14" s="39">
        <f t="shared" si="17"/>
        <v>0</v>
      </c>
      <c r="AD14" s="30">
        <f t="shared" si="5"/>
        <v>0</v>
      </c>
      <c r="AE14" s="348">
        <f t="shared" si="6"/>
        <v>0</v>
      </c>
      <c r="AF14" s="32">
        <f t="shared" si="7"/>
        <v>0</v>
      </c>
      <c r="AI14" s="33">
        <f t="shared" si="18"/>
        <v>0</v>
      </c>
      <c r="AJ14" s="33">
        <f t="shared" si="19"/>
        <v>0</v>
      </c>
      <c r="AK14" s="33">
        <f t="shared" si="20"/>
        <v>0</v>
      </c>
      <c r="AL14" s="33">
        <f t="shared" si="21"/>
        <v>0</v>
      </c>
      <c r="AM14" s="33">
        <f t="shared" si="26"/>
        <v>0</v>
      </c>
      <c r="AN14" s="33">
        <f t="shared" si="23"/>
        <v>0</v>
      </c>
      <c r="AO14" s="33">
        <f t="shared" si="8"/>
        <v>0</v>
      </c>
      <c r="AP14" s="33"/>
      <c r="AQ14" s="33">
        <f>IF(M14=1,'Труматик гермики'!S15*'Исходные данные'!$AQ$4,IF(M14=3,'Труматик гермики'!S15*'Исходные данные'!$AQ$4,0))</f>
        <v>0</v>
      </c>
      <c r="AS14">
        <f>IF(M14=2,IF('Труматик гермики'!Q15=1,0.6*'Исходные данные'!H14,IF('Труматик гермики'!Q15=2,1.5*'Исходные данные'!H14,IF('Труматик гермики'!Q15=3,1.16*'Исходные данные'!H14,IF('Труматик гермики'!Q15=4,1.34*'Исходные данные'!H14,IF('Труматик гермики'!Q15=6,1.66*'Исходные данные'!H14,IF('Труматик гермики'!Q15=7,1.82*'Исходные данные'!H14,IF('Труматик гермики'!Q15=8,1.98*'Исходные данные'!H14,IF('Труматик гермики'!Q15=9,2.14*'Исходные данные'!H14,IF('Труматик гермики'!Q15=10,2.3*'Исходные данные'!H14,IF('Труматик гермики'!Q15=11,2.46*'Исходные данные'!H14,IF('Труматик гермики'!Q15=12,2.62*'Исходные данные'!H14,IF('Труматик гермики'!Q15=13,2.78*'Исходные данные'!H14,IF('Труматик гермики'!Q15=15,3.1*'Исходные данные'!H14,0))))))))))))),IF(M14=4,IF('Труматик гермики'!Q15=1,0.6*'Исходные данные'!H14,IF('Труматик гермики'!Q15=5,1.5*'Исходные данные'!H14,IF('Труматик гермики'!Q15=3,1.16*'Исходные данные'!H14,IF('Труматик гермики'!Q15=4,1.34*'Исходные данные'!H14,IF('Труматик гермики'!Q15=6,1.66*'Исходные данные'!H14,IF('Труматик гермики'!Q15=7,1.82*'Исходные данные'!H14,IF('Труматик гермики'!Q15=8,1.98*'Исходные данные'!H14,IF('Труматик гермики'!Q15=9,2.14*'Исходные данные'!H14,IF('Труматик гермики'!Q15=10,2.3*'Исходные данные'!H14,IF('Труматик гермики'!Q15=11,2.46*'Исходные данные'!H14,IF('Труматик гермики'!Q15=12,2.62*'Исходные данные'!H14,IF('Труматик гермики'!Q15=13,2.78*'Исходные данные'!H14,IF('Труматик гермики'!Q15=15,3.1*'Исходные данные'!H14,0))))))))))))),0))</f>
        <v>0</v>
      </c>
      <c r="AU14">
        <f>IF(M14=1,IF('Труматик гермики'!P15&lt;=2,H14*1.91,IF('Труматик гермики'!P15&lt;=4,H14*2.06,IF('Труматик гермики'!P15&lt;=5,H14*2.16,IF('Труматик гермики'!P15&lt;=6,H14*2.35,IF('Труматик гермики'!P15&lt;=7,H14*2.47,IF('Труматик гермики'!P15&lt;=8,H14*2.51,IF('Труматик гермики'!P15&lt;=10,H14*2.71,IF('Труматик гермики'!P15&lt;=16,H14*4.49,IF('Труматик гермики'!P15&lt;=20,H14*4.8,IF('Труматик гермики'!P15&lt;=24,H14*5.11,IF('Труматик гермики'!P15&lt;=32,H14*6.18,0))))))))))),IF(M14=3,IF('Труматик гермики'!P15&lt;=2,H14*1.3,IF('Труматик гермики'!P15&lt;=4,H14*1.45,IF('Труматик гермики'!P15&lt;=5,H14*1.55,IF('Труматик гермики'!P15&lt;=6,H14*1.74,IF('Труматик гермики'!P15&lt;=7,H14*1.86,IF('Труматик гермики'!P15&lt;=8,H14*1.9,IF('Труматик гермики'!P15&lt;=10,H14*2.1,IF('Труматик гермики'!P15&lt;=16,H14*3.27,IF('Труматик гермики'!P15&lt;=20,H14*3.28,IF('Труматик гермики'!P15&lt;=24,H14*3.89,IF('Труматик гермики'!P15&lt;=32,H14*4.96,0))))))))))),0))</f>
        <v>0</v>
      </c>
    </row>
    <row r="15" spans="1:49">
      <c r="A15">
        <f t="shared" si="9"/>
        <v>10</v>
      </c>
      <c r="B15" s="54"/>
      <c r="C15" s="1"/>
      <c r="D15" s="1"/>
      <c r="E15" s="53"/>
      <c r="F15" s="54"/>
      <c r="G15" s="55"/>
      <c r="H15" s="54"/>
      <c r="I15" s="168" t="str">
        <f t="shared" si="25"/>
        <v>---</v>
      </c>
      <c r="J15" s="1"/>
      <c r="K15" s="87"/>
      <c r="L15" s="309" t="str">
        <f t="shared" si="0"/>
        <v>---</v>
      </c>
      <c r="M15">
        <f t="shared" si="10"/>
        <v>0</v>
      </c>
      <c r="O15" t="str">
        <f t="shared" si="1"/>
        <v>---</v>
      </c>
      <c r="P15" t="str">
        <f t="shared" si="2"/>
        <v>---</v>
      </c>
      <c r="Q15" s="10" t="str">
        <f t="shared" si="3"/>
        <v>---</v>
      </c>
      <c r="R15" s="43" t="str">
        <f t="shared" si="11"/>
        <v>---</v>
      </c>
      <c r="S15" s="60" t="str">
        <f t="shared" si="12"/>
        <v>---</v>
      </c>
      <c r="T15" s="39" t="str">
        <f t="shared" si="13"/>
        <v>---</v>
      </c>
      <c r="U15" s="106"/>
      <c r="V15" s="219">
        <f t="shared" si="4"/>
        <v>0</v>
      </c>
      <c r="W15" s="39">
        <f t="shared" si="14"/>
        <v>0</v>
      </c>
      <c r="X15" s="39">
        <f t="shared" si="15"/>
        <v>0</v>
      </c>
      <c r="Y15" s="39">
        <f>IF(M15=4,0,IF((AND('Задание Ножницы лента'!I18&gt;1000,'Задание Ножницы лента'!I18&lt;2000)),'Исходные данные'!$Y$3*'Исходные данные'!H15*2,IF('Задание Ножницы лента'!I18&lt;1000,$Y$4*2*H15,IF('Задание Ножницы лента'!I18&gt;2000,$Y$2*2*H15,"---"))))</f>
        <v>0</v>
      </c>
      <c r="Z15" s="39">
        <f t="shared" si="16"/>
        <v>0</v>
      </c>
      <c r="AA15" s="305">
        <f>IF(M15=$O$2,$AA$4*H15*'Труматик гермики'!Q16,IF(M15=$O$4,$AA$4*H15*'Труматик гермики'!Q16,0))</f>
        <v>0</v>
      </c>
      <c r="AB15" s="39">
        <f>IF(M15=4,0,IF($M$1=C15,'Труматик гермики'!P16*H15*$AB$4*2,IF($M$2=C15,'Труматик гермики'!Q16*H15*$AB$4,0)))</f>
        <v>0</v>
      </c>
      <c r="AC15" s="39">
        <f t="shared" si="17"/>
        <v>0</v>
      </c>
      <c r="AD15" s="30">
        <f t="shared" si="5"/>
        <v>0</v>
      </c>
      <c r="AE15" s="348">
        <f t="shared" si="6"/>
        <v>0</v>
      </c>
      <c r="AF15" s="32">
        <f t="shared" si="7"/>
        <v>0</v>
      </c>
      <c r="AI15" s="33">
        <f t="shared" si="18"/>
        <v>0</v>
      </c>
      <c r="AJ15" s="33">
        <f t="shared" si="19"/>
        <v>0</v>
      </c>
      <c r="AK15" s="33">
        <f t="shared" si="20"/>
        <v>0</v>
      </c>
      <c r="AL15" s="33">
        <f t="shared" si="21"/>
        <v>0</v>
      </c>
      <c r="AM15" s="33">
        <f t="shared" si="26"/>
        <v>0</v>
      </c>
      <c r="AN15" s="33">
        <f t="shared" si="23"/>
        <v>0</v>
      </c>
      <c r="AO15" s="33">
        <f t="shared" si="8"/>
        <v>0</v>
      </c>
      <c r="AP15" s="33"/>
      <c r="AQ15" s="33">
        <f>IF(M15=1,'Труматик гермики'!S16*'Исходные данные'!$AQ$4,IF(M15=3,'Труматик гермики'!S16*'Исходные данные'!$AQ$4,0))</f>
        <v>0</v>
      </c>
      <c r="AS15">
        <f>IF(M15=2,IF('Труматик гермики'!Q16=1,0.6*'Исходные данные'!H15,IF('Труматик гермики'!Q16=2,1.5*'Исходные данные'!H15,IF('Труматик гермики'!Q16=3,1.16*'Исходные данные'!H15,IF('Труматик гермики'!Q16=4,1.34*'Исходные данные'!H15,IF('Труматик гермики'!Q16=6,1.66*'Исходные данные'!H15,IF('Труматик гермики'!Q16=7,1.82*'Исходные данные'!H15,IF('Труматик гермики'!Q16=8,1.98*'Исходные данные'!H15,IF('Труматик гермики'!Q16=9,2.14*'Исходные данные'!H15,IF('Труматик гермики'!Q16=10,2.3*'Исходные данные'!H15,IF('Труматик гермики'!Q16=11,2.46*'Исходные данные'!H15,IF('Труматик гермики'!Q16=12,2.62*'Исходные данные'!H15,IF('Труматик гермики'!Q16=13,2.78*'Исходные данные'!H15,IF('Труматик гермики'!Q16=15,3.1*'Исходные данные'!H15,0))))))))))))),IF(M15=4,IF('Труматик гермики'!Q16=1,0.6*'Исходные данные'!H15,IF('Труматик гермики'!Q16=5,1.5*'Исходные данные'!H15,IF('Труматик гермики'!Q16=3,1.16*'Исходные данные'!H15,IF('Труматик гермики'!Q16=4,1.34*'Исходные данные'!H15,IF('Труматик гермики'!Q16=6,1.66*'Исходные данные'!H15,IF('Труматик гермики'!Q16=7,1.82*'Исходные данные'!H15,IF('Труматик гермики'!Q16=8,1.98*'Исходные данные'!H15,IF('Труматик гермики'!Q16=9,2.14*'Исходные данные'!H15,IF('Труматик гермики'!Q16=10,2.3*'Исходные данные'!H15,IF('Труматик гермики'!Q16=11,2.46*'Исходные данные'!H15,IF('Труматик гермики'!Q16=12,2.62*'Исходные данные'!H15,IF('Труматик гермики'!Q16=13,2.78*'Исходные данные'!H15,IF('Труматик гермики'!Q16=15,3.1*'Исходные данные'!H15,0))))))))))))),0))</f>
        <v>0</v>
      </c>
      <c r="AU15">
        <f>IF(M15=1,IF('Труматик гермики'!P16&lt;=2,H15*1.91,IF('Труматик гермики'!P16&lt;=4,H15*2.06,IF('Труматик гермики'!P16&lt;=5,H15*2.16,IF('Труматик гермики'!P16&lt;=6,H15*2.35,IF('Труматик гермики'!P16&lt;=7,H15*2.47,IF('Труматик гермики'!P16&lt;=8,H15*2.51,IF('Труматик гермики'!P16&lt;=10,H15*2.71,IF('Труматик гермики'!P16&lt;=16,H15*4.49,IF('Труматик гермики'!P16&lt;=20,H15*4.8,IF('Труматик гермики'!P16&lt;=24,H15*5.11,IF('Труматик гермики'!P16&lt;=32,H15*6.18,0))))))))))),IF(M15=3,IF('Труматик гермики'!P16&lt;=2,H15*1.3,IF('Труматик гермики'!P16&lt;=4,H15*1.45,IF('Труматик гермики'!P16&lt;=5,H15*1.55,IF('Труматик гермики'!P16&lt;=6,H15*1.74,IF('Труматик гермики'!P16&lt;=7,H15*1.86,IF('Труматик гермики'!P16&lt;=8,H15*1.9,IF('Труматик гермики'!P16&lt;=10,H15*2.1,IF('Труматик гермики'!P16&lt;=16,H15*3.27,IF('Труматик гермики'!P16&lt;=20,H15*3.28,IF('Труматик гермики'!P16&lt;=24,H15*3.89,IF('Труматик гермики'!P16&lt;=32,H15*4.96,0))))))))))),0))</f>
        <v>0</v>
      </c>
    </row>
    <row r="16" spans="1:49">
      <c r="A16">
        <f t="shared" si="9"/>
        <v>11</v>
      </c>
      <c r="B16" s="54"/>
      <c r="C16" s="1"/>
      <c r="D16" s="1"/>
      <c r="E16" s="53"/>
      <c r="F16" s="54"/>
      <c r="G16" s="55"/>
      <c r="H16" s="54"/>
      <c r="I16" s="168" t="str">
        <f t="shared" si="25"/>
        <v>---</v>
      </c>
      <c r="J16" s="1"/>
      <c r="K16" s="87"/>
      <c r="L16" s="309" t="str">
        <f t="shared" si="0"/>
        <v>---</v>
      </c>
      <c r="M16">
        <f t="shared" si="10"/>
        <v>0</v>
      </c>
      <c r="O16" t="str">
        <f t="shared" si="1"/>
        <v>---</v>
      </c>
      <c r="P16" t="str">
        <f t="shared" si="2"/>
        <v>---</v>
      </c>
      <c r="Q16" s="10" t="str">
        <f t="shared" si="3"/>
        <v>---</v>
      </c>
      <c r="R16" s="43" t="str">
        <f t="shared" si="11"/>
        <v>---</v>
      </c>
      <c r="S16" s="60" t="str">
        <f t="shared" si="12"/>
        <v>---</v>
      </c>
      <c r="T16" s="39" t="str">
        <f t="shared" si="13"/>
        <v>---</v>
      </c>
      <c r="U16" s="106"/>
      <c r="V16" s="219">
        <f t="shared" si="4"/>
        <v>0</v>
      </c>
      <c r="W16" s="39">
        <f t="shared" si="14"/>
        <v>0</v>
      </c>
      <c r="X16" s="39">
        <f t="shared" si="15"/>
        <v>0</v>
      </c>
      <c r="Y16" s="39">
        <f>IF(M16=4,0,IF((AND('Задание Ножницы лента'!I19&gt;1000,'Задание Ножницы лента'!I19&lt;2000)),'Исходные данные'!$Y$3*'Исходные данные'!H16*2,IF('Задание Ножницы лента'!I19&lt;1000,$Y$4*2*H16,IF('Задание Ножницы лента'!I19&gt;2000,$Y$2*2*H16,"---"))))</f>
        <v>0</v>
      </c>
      <c r="Z16" s="39">
        <f t="shared" si="16"/>
        <v>0</v>
      </c>
      <c r="AA16" s="305">
        <f>IF(M16=$O$2,$AA$4*H16*'Труматик гермики'!Q17,IF(M16=$O$4,$AA$4*H16*'Труматик гермики'!Q17,0))</f>
        <v>0</v>
      </c>
      <c r="AB16" s="39">
        <f>IF(M16=4,0,IF($M$1=C16,'Труматик гермики'!P17*H16*$AB$4*2,IF($M$2=C16,'Труматик гермики'!Q17*H16*$AB$4,0)))</f>
        <v>0</v>
      </c>
      <c r="AC16" s="39">
        <f t="shared" si="17"/>
        <v>0</v>
      </c>
      <c r="AD16" s="30">
        <f t="shared" si="5"/>
        <v>0</v>
      </c>
      <c r="AE16" s="348">
        <f t="shared" si="6"/>
        <v>0</v>
      </c>
      <c r="AF16" s="32">
        <f t="shared" si="7"/>
        <v>0</v>
      </c>
      <c r="AI16" s="33">
        <f t="shared" si="18"/>
        <v>0</v>
      </c>
      <c r="AJ16" s="33">
        <f t="shared" si="19"/>
        <v>0</v>
      </c>
      <c r="AK16" s="33">
        <f t="shared" si="20"/>
        <v>0</v>
      </c>
      <c r="AL16" s="33">
        <f t="shared" si="21"/>
        <v>0</v>
      </c>
      <c r="AM16" s="33">
        <f t="shared" si="26"/>
        <v>0</v>
      </c>
      <c r="AN16" s="33">
        <f t="shared" si="23"/>
        <v>0</v>
      </c>
      <c r="AO16" s="33">
        <f t="shared" si="8"/>
        <v>0</v>
      </c>
      <c r="AP16" s="33"/>
      <c r="AQ16" s="33">
        <f>IF(M16=1,'Труматик гермики'!S17*'Исходные данные'!$AQ$4,IF(M16=3,'Труматик гермики'!S17*'Исходные данные'!$AQ$4,0))</f>
        <v>0</v>
      </c>
      <c r="AS16">
        <f>IF(M16=2,IF('Труматик гермики'!Q17=1,0.6*'Исходные данные'!H16,IF('Труматик гермики'!Q17=2,1.5*'Исходные данные'!H16,IF('Труматик гермики'!Q17=3,1.16*'Исходные данные'!H16,IF('Труматик гермики'!Q17=4,1.34*'Исходные данные'!H16,IF('Труматик гермики'!Q17=6,1.66*'Исходные данные'!H16,IF('Труматик гермики'!Q17=7,1.82*'Исходные данные'!H16,IF('Труматик гермики'!Q17=8,1.98*'Исходные данные'!H16,IF('Труматик гермики'!Q17=9,2.14*'Исходные данные'!H16,IF('Труматик гермики'!Q17=10,2.3*'Исходные данные'!H16,IF('Труматик гермики'!Q17=11,2.46*'Исходные данные'!H16,IF('Труматик гермики'!Q17=12,2.62*'Исходные данные'!H16,IF('Труматик гермики'!Q17=13,2.78*'Исходные данные'!H16,IF('Труматик гермики'!Q17=15,3.1*'Исходные данные'!H16,0))))))))))))),IF(M16=4,IF('Труматик гермики'!Q17=1,0.6*'Исходные данные'!H16,IF('Труматик гермики'!Q17=5,1.5*'Исходные данные'!H16,IF('Труматик гермики'!Q17=3,1.16*'Исходные данные'!H16,IF('Труматик гермики'!Q17=4,1.34*'Исходные данные'!H16,IF('Труматик гермики'!Q17=6,1.66*'Исходные данные'!H16,IF('Труматик гермики'!Q17=7,1.82*'Исходные данные'!H16,IF('Труматик гермики'!Q17=8,1.98*'Исходные данные'!H16,IF('Труматик гермики'!Q17=9,2.14*'Исходные данные'!H16,IF('Труматик гермики'!Q17=10,2.3*'Исходные данные'!H16,IF('Труматик гермики'!Q17=11,2.46*'Исходные данные'!H16,IF('Труматик гермики'!Q17=12,2.62*'Исходные данные'!H16,IF('Труматик гермики'!Q17=13,2.78*'Исходные данные'!H16,IF('Труматик гермики'!Q17=15,3.1*'Исходные данные'!H16,0))))))))))))),0))</f>
        <v>0</v>
      </c>
      <c r="AU16">
        <f>IF(M16=1,IF('Труматик гермики'!P17&lt;=2,H16*1.91,IF('Труматик гермики'!P17&lt;=4,H16*2.06,IF('Труматик гермики'!P17&lt;=5,H16*2.16,IF('Труматик гермики'!P17&lt;=6,H16*2.35,IF('Труматик гермики'!P17&lt;=7,H16*2.47,IF('Труматик гермики'!P17&lt;=8,H16*2.51,IF('Труматик гермики'!P17&lt;=10,H16*2.71,IF('Труматик гермики'!P17&lt;=16,H16*4.49,IF('Труматик гермики'!P17&lt;=20,H16*4.8,IF('Труматик гермики'!P17&lt;=24,H16*5.11,IF('Труматик гермики'!P17&lt;=32,H16*6.18,0))))))))))),IF(M16=3,IF('Труматик гермики'!P17&lt;=2,H16*1.3,IF('Труматик гермики'!P17&lt;=4,H16*1.45,IF('Труматик гермики'!P17&lt;=5,H16*1.55,IF('Труматик гермики'!P17&lt;=6,H16*1.74,IF('Труматик гермики'!P17&lt;=7,H16*1.86,IF('Труматик гермики'!P17&lt;=8,H16*1.9,IF('Труматик гермики'!P17&lt;=10,H16*2.1,IF('Труматик гермики'!P17&lt;=16,H16*3.27,IF('Труматик гермики'!P17&lt;=20,H16*3.28,IF('Труматик гермики'!P17&lt;=24,H16*3.89,IF('Труматик гермики'!P17&lt;=32,H16*4.96,0))))))))))),0))</f>
        <v>0</v>
      </c>
    </row>
    <row r="17" spans="1:47">
      <c r="A17">
        <f t="shared" si="9"/>
        <v>12</v>
      </c>
      <c r="B17" s="54"/>
      <c r="C17" s="1"/>
      <c r="D17" s="1"/>
      <c r="E17" s="53"/>
      <c r="F17" s="54"/>
      <c r="G17" s="55"/>
      <c r="H17" s="54"/>
      <c r="I17" s="168" t="str">
        <f t="shared" si="25"/>
        <v>---</v>
      </c>
      <c r="J17" s="1"/>
      <c r="K17" s="87"/>
      <c r="L17" s="309" t="str">
        <f t="shared" si="0"/>
        <v>---</v>
      </c>
      <c r="M17">
        <f t="shared" si="10"/>
        <v>0</v>
      </c>
      <c r="O17" t="str">
        <f t="shared" si="1"/>
        <v>---</v>
      </c>
      <c r="P17" t="str">
        <f t="shared" si="2"/>
        <v>---</v>
      </c>
      <c r="Q17" s="10" t="str">
        <f t="shared" si="3"/>
        <v>---</v>
      </c>
      <c r="R17" s="43" t="str">
        <f t="shared" si="11"/>
        <v>---</v>
      </c>
      <c r="S17" s="60" t="str">
        <f t="shared" si="12"/>
        <v>---</v>
      </c>
      <c r="T17" s="39" t="str">
        <f t="shared" si="13"/>
        <v>---</v>
      </c>
      <c r="U17" s="106"/>
      <c r="V17" s="219">
        <f t="shared" si="4"/>
        <v>0</v>
      </c>
      <c r="W17" s="39">
        <f t="shared" si="14"/>
        <v>0</v>
      </c>
      <c r="X17" s="39">
        <f t="shared" si="15"/>
        <v>0</v>
      </c>
      <c r="Y17" s="39">
        <f>IF(M17=4,0,IF((AND('Задание Ножницы лента'!I20&gt;1000,'Задание Ножницы лента'!I20&lt;2000)),'Исходные данные'!$Y$3*'Исходные данные'!H17*2,IF('Задание Ножницы лента'!I20&lt;1000,$Y$4*2*H17,IF('Задание Ножницы лента'!I20&gt;2000,$Y$2*2*H17,"---"))))</f>
        <v>0</v>
      </c>
      <c r="Z17" s="39">
        <f t="shared" si="16"/>
        <v>0</v>
      </c>
      <c r="AA17" s="305">
        <f>IF(M17=$O$2,$AA$4*H17*'Труматик гермики'!Q18,IF(M17=$O$4,$AA$4*H17*'Труматик гермики'!Q18,0))</f>
        <v>0</v>
      </c>
      <c r="AB17" s="39">
        <f>IF(M17=4,0,IF($M$1=C17,'Труматик гермики'!P18*H17*$AB$4*2,IF($M$2=C17,'Труматик гермики'!Q18*H17*$AB$4,0)))</f>
        <v>0</v>
      </c>
      <c r="AC17" s="39">
        <f t="shared" si="17"/>
        <v>0</v>
      </c>
      <c r="AD17" s="30">
        <f t="shared" si="5"/>
        <v>0</v>
      </c>
      <c r="AE17" s="348">
        <f t="shared" si="6"/>
        <v>0</v>
      </c>
      <c r="AF17" s="32">
        <f t="shared" si="7"/>
        <v>0</v>
      </c>
      <c r="AI17" s="33">
        <f t="shared" si="18"/>
        <v>0</v>
      </c>
      <c r="AJ17" s="33">
        <f t="shared" si="19"/>
        <v>0</v>
      </c>
      <c r="AK17" s="33">
        <f t="shared" si="20"/>
        <v>0</v>
      </c>
      <c r="AL17" s="33">
        <f t="shared" si="21"/>
        <v>0</v>
      </c>
      <c r="AM17" s="33">
        <f t="shared" si="26"/>
        <v>0</v>
      </c>
      <c r="AN17" s="33">
        <f t="shared" si="23"/>
        <v>0</v>
      </c>
      <c r="AO17" s="33">
        <f t="shared" si="8"/>
        <v>0</v>
      </c>
      <c r="AP17" s="33"/>
      <c r="AQ17" s="33">
        <f>IF(M17=1,'Труматик гермики'!S18*'Исходные данные'!$AQ$4,IF(M17=3,'Труматик гермики'!S18*'Исходные данные'!$AQ$4,0))</f>
        <v>0</v>
      </c>
      <c r="AS17">
        <f>IF(M17=2,IF('Труматик гермики'!Q18=1,0.6*'Исходные данные'!H17,IF('Труматик гермики'!Q18=2,1.5*'Исходные данные'!H17,IF('Труматик гермики'!Q18=3,1.16*'Исходные данные'!H17,IF('Труматик гермики'!Q18=4,1.34*'Исходные данные'!H17,IF('Труматик гермики'!Q18=6,1.66*'Исходные данные'!H17,IF('Труматик гермики'!Q18=7,1.82*'Исходные данные'!H17,IF('Труматик гермики'!Q18=8,1.98*'Исходные данные'!H17,IF('Труматик гермики'!Q18=9,2.14*'Исходные данные'!H17,IF('Труматик гермики'!Q18=10,2.3*'Исходные данные'!H17,IF('Труматик гермики'!Q18=11,2.46*'Исходные данные'!H17,IF('Труматик гермики'!Q18=12,2.62*'Исходные данные'!H17,IF('Труматик гермики'!Q18=13,2.78*'Исходные данные'!H17,IF('Труматик гермики'!Q18=15,3.1*'Исходные данные'!H17,0))))))))))))),IF(M17=4,IF('Труматик гермики'!Q18=1,0.6*'Исходные данные'!H17,IF('Труматик гермики'!Q18=5,1.5*'Исходные данные'!H17,IF('Труматик гермики'!Q18=3,1.16*'Исходные данные'!H17,IF('Труматик гермики'!Q18=4,1.34*'Исходные данные'!H17,IF('Труматик гермики'!Q18=6,1.66*'Исходные данные'!H17,IF('Труматик гермики'!Q18=7,1.82*'Исходные данные'!H17,IF('Труматик гермики'!Q18=8,1.98*'Исходные данные'!H17,IF('Труматик гермики'!Q18=9,2.14*'Исходные данные'!H17,IF('Труматик гермики'!Q18=10,2.3*'Исходные данные'!H17,IF('Труматик гермики'!Q18=11,2.46*'Исходные данные'!H17,IF('Труматик гермики'!Q18=12,2.62*'Исходные данные'!H17,IF('Труматик гермики'!Q18=13,2.78*'Исходные данные'!H17,IF('Труматик гермики'!Q18=15,3.1*'Исходные данные'!H17,0))))))))))))),0))</f>
        <v>0</v>
      </c>
      <c r="AU17">
        <f>IF(M17=1,IF('Труматик гермики'!P18&lt;=2,H17*1.91,IF('Труматик гермики'!P18&lt;=4,H17*2.06,IF('Труматик гермики'!P18&lt;=5,H17*2.16,IF('Труматик гермики'!P18&lt;=6,H17*2.35,IF('Труматик гермики'!P18&lt;=7,H17*2.47,IF('Труматик гермики'!P18&lt;=8,H17*2.51,IF('Труматик гермики'!P18&lt;=10,H17*2.71,IF('Труматик гермики'!P18&lt;=16,H17*4.49,IF('Труматик гермики'!P18&lt;=20,H17*4.8,IF('Труматик гермики'!P18&lt;=24,H17*5.11,IF('Труматик гермики'!P18&lt;=32,H17*6.18,0))))))))))),IF(M17=3,IF('Труматик гермики'!P18&lt;=2,H17*1.3,IF('Труматик гермики'!P18&lt;=4,H17*1.45,IF('Труматик гермики'!P18&lt;=5,H17*1.55,IF('Труматик гермики'!P18&lt;=6,H17*1.74,IF('Труматик гермики'!P18&lt;=7,H17*1.86,IF('Труматик гермики'!P18&lt;=8,H17*1.9,IF('Труматик гермики'!P18&lt;=10,H17*2.1,IF('Труматик гермики'!P18&lt;=16,H17*3.27,IF('Труматик гермики'!P18&lt;=20,H17*3.28,IF('Труматик гермики'!P18&lt;=24,H17*3.89,IF('Труматик гермики'!P18&lt;=32,H17*4.96,0))))))))))),0))</f>
        <v>0</v>
      </c>
    </row>
    <row r="18" spans="1:47">
      <c r="A18">
        <f t="shared" si="9"/>
        <v>13</v>
      </c>
      <c r="B18" s="54"/>
      <c r="C18" s="1"/>
      <c r="D18" s="1"/>
      <c r="E18" s="53"/>
      <c r="F18" s="54"/>
      <c r="G18" s="55"/>
      <c r="H18" s="54"/>
      <c r="I18" s="168" t="str">
        <f t="shared" si="25"/>
        <v>---</v>
      </c>
      <c r="J18" s="1"/>
      <c r="K18" s="87"/>
      <c r="L18" s="309" t="str">
        <f t="shared" si="0"/>
        <v>---</v>
      </c>
      <c r="M18">
        <f t="shared" si="10"/>
        <v>0</v>
      </c>
      <c r="O18" t="str">
        <f t="shared" si="1"/>
        <v>---</v>
      </c>
      <c r="P18" t="str">
        <f t="shared" si="2"/>
        <v>---</v>
      </c>
      <c r="Q18" s="10" t="str">
        <f t="shared" si="3"/>
        <v>---</v>
      </c>
      <c r="R18" s="43" t="str">
        <f t="shared" si="11"/>
        <v>---</v>
      </c>
      <c r="S18" s="60" t="str">
        <f t="shared" si="12"/>
        <v>---</v>
      </c>
      <c r="T18" s="39" t="str">
        <f t="shared" si="13"/>
        <v>---</v>
      </c>
      <c r="U18" s="106"/>
      <c r="V18" s="219">
        <f t="shared" si="4"/>
        <v>0</v>
      </c>
      <c r="W18" s="39">
        <f t="shared" si="14"/>
        <v>0</v>
      </c>
      <c r="X18" s="39">
        <f t="shared" si="15"/>
        <v>0</v>
      </c>
      <c r="Y18" s="39">
        <f>IF(M18=4,0,IF((AND('Задание Ножницы лента'!I21&gt;1000,'Задание Ножницы лента'!I21&lt;2000)),'Исходные данные'!$Y$3*'Исходные данные'!H18*2,IF('Задание Ножницы лента'!I21&lt;1000,$Y$4*2*H18,IF('Задание Ножницы лента'!I21&gt;2000,$Y$2*2*H18,"---"))))</f>
        <v>0</v>
      </c>
      <c r="Z18" s="39">
        <f t="shared" si="16"/>
        <v>0</v>
      </c>
      <c r="AA18" s="305">
        <f>IF(M18=$O$2,$AA$4*H18*'Труматик гермики'!Q19,IF(M18=$O$4,$AA$4*H18*'Труматик гермики'!Q19,0))</f>
        <v>0</v>
      </c>
      <c r="AB18" s="39">
        <f>IF(M18=4,0,IF($M$1=C18,'Труматик гермики'!P19*H18*$AB$4*2,IF($M$2=C18,'Труматик гермики'!Q19*H18*$AB$4,0)))</f>
        <v>0</v>
      </c>
      <c r="AC18" s="39">
        <f t="shared" si="17"/>
        <v>0</v>
      </c>
      <c r="AD18" s="30">
        <f t="shared" si="5"/>
        <v>0</v>
      </c>
      <c r="AE18" s="348">
        <f t="shared" si="6"/>
        <v>0</v>
      </c>
      <c r="AF18" s="32">
        <f t="shared" si="7"/>
        <v>0</v>
      </c>
      <c r="AI18" s="33">
        <f t="shared" si="18"/>
        <v>0</v>
      </c>
      <c r="AJ18" s="33">
        <f t="shared" si="19"/>
        <v>0</v>
      </c>
      <c r="AK18" s="33">
        <f t="shared" si="20"/>
        <v>0</v>
      </c>
      <c r="AL18" s="33">
        <f t="shared" si="21"/>
        <v>0</v>
      </c>
      <c r="AM18" s="33">
        <f t="shared" si="26"/>
        <v>0</v>
      </c>
      <c r="AN18" s="33">
        <f t="shared" si="23"/>
        <v>0</v>
      </c>
      <c r="AO18" s="33">
        <f t="shared" si="8"/>
        <v>0</v>
      </c>
      <c r="AP18" s="33"/>
      <c r="AQ18" s="33">
        <f>IF(M18=1,'Труматик гермики'!S19*'Исходные данные'!$AQ$4,IF(M18=3,'Труматик гермики'!S19*'Исходные данные'!$AQ$4,0))</f>
        <v>0</v>
      </c>
      <c r="AS18">
        <f>IF(M18=2,IF('Труматик гермики'!Q19=1,0.6*'Исходные данные'!H18,IF('Труматик гермики'!Q19=2,1.5*'Исходные данные'!H18,IF('Труматик гермики'!Q19=3,1.16*'Исходные данные'!H18,IF('Труматик гермики'!Q19=4,1.34*'Исходные данные'!H18,IF('Труматик гермики'!Q19=6,1.66*'Исходные данные'!H18,IF('Труматик гермики'!Q19=7,1.82*'Исходные данные'!H18,IF('Труматик гермики'!Q19=8,1.98*'Исходные данные'!H18,IF('Труматик гермики'!Q19=9,2.14*'Исходные данные'!H18,IF('Труматик гермики'!Q19=10,2.3*'Исходные данные'!H18,IF('Труматик гермики'!Q19=11,2.46*'Исходные данные'!H18,IF('Труматик гермики'!Q19=12,2.62*'Исходные данные'!H18,IF('Труматик гермики'!Q19=13,2.78*'Исходные данные'!H18,IF('Труматик гермики'!Q19=15,3.1*'Исходные данные'!H18,0))))))))))))),IF(M18=4,IF('Труматик гермики'!Q19=1,0.6*'Исходные данные'!H18,IF('Труматик гермики'!Q19=5,1.5*'Исходные данные'!H18,IF('Труматик гермики'!Q19=3,1.16*'Исходные данные'!H18,IF('Труматик гермики'!Q19=4,1.34*'Исходные данные'!H18,IF('Труматик гермики'!Q19=6,1.66*'Исходные данные'!H18,IF('Труматик гермики'!Q19=7,1.82*'Исходные данные'!H18,IF('Труматик гермики'!Q19=8,1.98*'Исходные данные'!H18,IF('Труматик гермики'!Q19=9,2.14*'Исходные данные'!H18,IF('Труматик гермики'!Q19=10,2.3*'Исходные данные'!H18,IF('Труматик гермики'!Q19=11,2.46*'Исходные данные'!H18,IF('Труматик гермики'!Q19=12,2.62*'Исходные данные'!H18,IF('Труматик гермики'!Q19=13,2.78*'Исходные данные'!H18,IF('Труматик гермики'!Q19=15,3.1*'Исходные данные'!H18,0))))))))))))),0))</f>
        <v>0</v>
      </c>
      <c r="AU18">
        <f>IF(M18=1,IF('Труматик гермики'!P19&lt;=2,H18*1.91,IF('Труматик гермики'!P19&lt;=4,H18*2.06,IF('Труматик гермики'!P19&lt;=5,H18*2.16,IF('Труматик гермики'!P19&lt;=6,H18*2.35,IF('Труматик гермики'!P19&lt;=7,H18*2.47,IF('Труматик гермики'!P19&lt;=8,H18*2.51,IF('Труматик гермики'!P19&lt;=10,H18*2.71,IF('Труматик гермики'!P19&lt;=16,H18*4.49,IF('Труматик гермики'!P19&lt;=20,H18*4.8,IF('Труматик гермики'!P19&lt;=24,H18*5.11,IF('Труматик гермики'!P19&lt;=32,H18*6.18,0))))))))))),IF(M18=3,IF('Труматик гермики'!P19&lt;=2,H18*1.3,IF('Труматик гермики'!P19&lt;=4,H18*1.45,IF('Труматик гермики'!P19&lt;=5,H18*1.55,IF('Труматик гермики'!P19&lt;=6,H18*1.74,IF('Труматик гермики'!P19&lt;=7,H18*1.86,IF('Труматик гермики'!P19&lt;=8,H18*1.9,IF('Труматик гермики'!P19&lt;=10,H18*2.1,IF('Труматик гермики'!P19&lt;=16,H18*3.27,IF('Труматик гермики'!P19&lt;=20,H18*3.28,IF('Труматик гермики'!P19&lt;=24,H18*3.89,IF('Труматик гермики'!P19&lt;=32,H18*4.96,0))))))))))),0))</f>
        <v>0</v>
      </c>
    </row>
    <row r="19" spans="1:47">
      <c r="A19">
        <f t="shared" si="9"/>
        <v>14</v>
      </c>
      <c r="B19" s="54"/>
      <c r="C19" s="1"/>
      <c r="D19" s="1"/>
      <c r="E19" s="53"/>
      <c r="F19" s="54"/>
      <c r="G19" s="55"/>
      <c r="H19" s="54"/>
      <c r="I19" s="168" t="str">
        <f t="shared" si="25"/>
        <v>---</v>
      </c>
      <c r="J19" s="1"/>
      <c r="K19" s="87"/>
      <c r="L19" s="309" t="str">
        <f t="shared" si="0"/>
        <v>---</v>
      </c>
      <c r="M19">
        <f t="shared" si="10"/>
        <v>0</v>
      </c>
      <c r="O19" t="str">
        <f t="shared" si="1"/>
        <v>---</v>
      </c>
      <c r="P19" t="str">
        <f t="shared" si="2"/>
        <v>---</v>
      </c>
      <c r="Q19" s="10" t="str">
        <f t="shared" si="3"/>
        <v>---</v>
      </c>
      <c r="R19" s="43" t="str">
        <f t="shared" si="11"/>
        <v>---</v>
      </c>
      <c r="S19" s="60" t="str">
        <f t="shared" si="12"/>
        <v>---</v>
      </c>
      <c r="T19" s="39" t="str">
        <f t="shared" si="13"/>
        <v>---</v>
      </c>
      <c r="U19" s="106"/>
      <c r="V19" s="219">
        <f t="shared" si="4"/>
        <v>0</v>
      </c>
      <c r="W19" s="39">
        <f t="shared" si="14"/>
        <v>0</v>
      </c>
      <c r="X19" s="39">
        <f t="shared" si="15"/>
        <v>0</v>
      </c>
      <c r="Y19" s="39">
        <f>IF(M19=4,0,IF((AND('Задание Ножницы лента'!I22&gt;1000,'Задание Ножницы лента'!I22&lt;2000)),'Исходные данные'!$Y$3*'Исходные данные'!H19*2,IF('Задание Ножницы лента'!I22&lt;1000,$Y$4*2*H19,IF('Задание Ножницы лента'!I22&gt;2000,$Y$2*2*H19,"---"))))</f>
        <v>0</v>
      </c>
      <c r="Z19" s="39">
        <f t="shared" si="16"/>
        <v>0</v>
      </c>
      <c r="AA19" s="305">
        <f>IF(M19=$O$2,$AA$4*H19*'Труматик гермики'!Q20,IF(M19=$O$4,$AA$4*H19*'Труматик гермики'!Q20,0))</f>
        <v>0</v>
      </c>
      <c r="AB19" s="39">
        <f>IF(M19=4,0,IF($M$1=C19,'Труматик гермики'!P20*H19*$AB$4*2,IF($M$2=C19,'Труматик гермики'!Q20*H19*$AB$4,0)))</f>
        <v>0</v>
      </c>
      <c r="AC19" s="39">
        <f t="shared" si="17"/>
        <v>0</v>
      </c>
      <c r="AD19" s="30">
        <f t="shared" si="5"/>
        <v>0</v>
      </c>
      <c r="AE19" s="348">
        <f t="shared" si="6"/>
        <v>0</v>
      </c>
      <c r="AF19" s="32">
        <f t="shared" si="7"/>
        <v>0</v>
      </c>
      <c r="AI19" s="33">
        <f t="shared" si="18"/>
        <v>0</v>
      </c>
      <c r="AJ19" s="33">
        <f t="shared" si="19"/>
        <v>0</v>
      </c>
      <c r="AK19" s="33">
        <f t="shared" si="20"/>
        <v>0</v>
      </c>
      <c r="AL19" s="33">
        <f t="shared" si="21"/>
        <v>0</v>
      </c>
      <c r="AM19" s="33">
        <f t="shared" si="26"/>
        <v>0</v>
      </c>
      <c r="AN19" s="33">
        <f t="shared" si="23"/>
        <v>0</v>
      </c>
      <c r="AO19" s="33">
        <f t="shared" si="8"/>
        <v>0</v>
      </c>
      <c r="AP19" s="33"/>
      <c r="AQ19" s="33">
        <f>IF(M19=1,'Труматик гермики'!S20*'Исходные данные'!$AQ$4,IF(M19=3,'Труматик гермики'!S20*'Исходные данные'!$AQ$4,0))</f>
        <v>0</v>
      </c>
      <c r="AS19">
        <f>IF(M19=2,IF('Труматик гермики'!Q20=1,0.6*'Исходные данные'!H19,IF('Труматик гермики'!Q20=2,1.5*'Исходные данные'!H19,IF('Труматик гермики'!Q20=3,1.16*'Исходные данные'!H19,IF('Труматик гермики'!Q20=4,1.34*'Исходные данные'!H19,IF('Труматик гермики'!Q20=6,1.66*'Исходные данные'!H19,IF('Труматик гермики'!Q20=7,1.82*'Исходные данные'!H19,IF('Труматик гермики'!Q20=8,1.98*'Исходные данные'!H19,IF('Труматик гермики'!Q20=9,2.14*'Исходные данные'!H19,IF('Труматик гермики'!Q20=10,2.3*'Исходные данные'!H19,IF('Труматик гермики'!Q20=11,2.46*'Исходные данные'!H19,IF('Труматик гермики'!Q20=12,2.62*'Исходные данные'!H19,IF('Труматик гермики'!Q20=13,2.78*'Исходные данные'!H19,IF('Труматик гермики'!Q20=15,3.1*'Исходные данные'!H19,0))))))))))))),IF(M19=4,IF('Труматик гермики'!Q20=1,0.6*'Исходные данные'!H19,IF('Труматик гермики'!Q20=5,1.5*'Исходные данные'!H19,IF('Труматик гермики'!Q20=3,1.16*'Исходные данные'!H19,IF('Труматик гермики'!Q20=4,1.34*'Исходные данные'!H19,IF('Труматик гермики'!Q20=6,1.66*'Исходные данные'!H19,IF('Труматик гермики'!Q20=7,1.82*'Исходные данные'!H19,IF('Труматик гермики'!Q20=8,1.98*'Исходные данные'!H19,IF('Труматик гермики'!Q20=9,2.14*'Исходные данные'!H19,IF('Труматик гермики'!Q20=10,2.3*'Исходные данные'!H19,IF('Труматик гермики'!Q20=11,2.46*'Исходные данные'!H19,IF('Труматик гермики'!Q20=12,2.62*'Исходные данные'!H19,IF('Труматик гермики'!Q20=13,2.78*'Исходные данные'!H19,IF('Труматик гермики'!Q20=15,3.1*'Исходные данные'!H19,0))))))))))))),0))</f>
        <v>0</v>
      </c>
      <c r="AU19">
        <f>IF(M19=1,IF('Труматик гермики'!P20&lt;=2,H19*1.91,IF('Труматик гермики'!P20&lt;=4,H19*2.06,IF('Труматик гермики'!P20&lt;=5,H19*2.16,IF('Труматик гермики'!P20&lt;=6,H19*2.35,IF('Труматик гермики'!P20&lt;=7,H19*2.47,IF('Труматик гермики'!P20&lt;=8,H19*2.51,IF('Труматик гермики'!P20&lt;=10,H19*2.71,IF('Труматик гермики'!P20&lt;=16,H19*4.49,IF('Труматик гермики'!P20&lt;=20,H19*4.8,IF('Труматик гермики'!P20&lt;=24,H19*5.11,IF('Труматик гермики'!P20&lt;=32,H19*6.18,0))))))))))),IF(M19=3,IF('Труматик гермики'!P20&lt;=2,H19*1.3,IF('Труматик гермики'!P20&lt;=4,H19*1.45,IF('Труматик гермики'!P20&lt;=5,H19*1.55,IF('Труматик гермики'!P20&lt;=6,H19*1.74,IF('Труматик гермики'!P20&lt;=7,H19*1.86,IF('Труматик гермики'!P20&lt;=8,H19*1.9,IF('Труматик гермики'!P20&lt;=10,H19*2.1,IF('Труматик гермики'!P20&lt;=16,H19*3.27,IF('Труматик гермики'!P20&lt;=20,H19*3.28,IF('Труматик гермики'!P20&lt;=24,H19*3.89,IF('Труматик гермики'!P20&lt;=32,H19*4.96,0))))))))))),0))</f>
        <v>0</v>
      </c>
    </row>
    <row r="20" spans="1:47">
      <c r="A20">
        <f t="shared" si="9"/>
        <v>15</v>
      </c>
      <c r="B20" s="54"/>
      <c r="C20" s="1"/>
      <c r="D20" s="1"/>
      <c r="E20" s="53"/>
      <c r="F20" s="54"/>
      <c r="G20" s="55"/>
      <c r="H20" s="54"/>
      <c r="I20" s="168" t="str">
        <f t="shared" si="25"/>
        <v>---</v>
      </c>
      <c r="J20" s="1"/>
      <c r="K20" s="87"/>
      <c r="L20" s="309" t="str">
        <f t="shared" si="0"/>
        <v>---</v>
      </c>
      <c r="M20">
        <f t="shared" si="10"/>
        <v>0</v>
      </c>
      <c r="O20" t="str">
        <f t="shared" si="1"/>
        <v>---</v>
      </c>
      <c r="P20" t="str">
        <f t="shared" si="2"/>
        <v>---</v>
      </c>
      <c r="Q20" s="10" t="str">
        <f>IF(N21=2,150,IF(N21=4,150,"---"))</f>
        <v>---</v>
      </c>
      <c r="R20" s="43" t="str">
        <f t="shared" si="11"/>
        <v>---</v>
      </c>
      <c r="S20" s="60" t="str">
        <f t="shared" si="12"/>
        <v>---</v>
      </c>
      <c r="T20" s="39" t="str">
        <f t="shared" si="13"/>
        <v>---</v>
      </c>
      <c r="U20" s="106"/>
      <c r="V20" s="219">
        <f t="shared" si="4"/>
        <v>0</v>
      </c>
      <c r="W20" s="39">
        <f t="shared" si="14"/>
        <v>0</v>
      </c>
      <c r="X20" s="39">
        <f t="shared" si="15"/>
        <v>0</v>
      </c>
      <c r="Y20" s="39">
        <f>IF(M20=4,0,IF((AND('Задание Ножницы лента'!I23&gt;1000,'Задание Ножницы лента'!I23&lt;2000)),'Исходные данные'!$Y$3*'Исходные данные'!H20*2,IF('Задание Ножницы лента'!I23&lt;1000,$Y$4*2*H20,IF('Задание Ножницы лента'!I23&gt;2000,$Y$2*2*H20,"---"))))</f>
        <v>0</v>
      </c>
      <c r="Z20" s="39">
        <f t="shared" si="16"/>
        <v>0</v>
      </c>
      <c r="AA20" s="305">
        <f>IF(M20=$O$2,$AA$4*H20*'Труматик гермики'!Q21,IF(M20=$O$4,$AA$4*H20*'Труматик гермики'!Q21,0))</f>
        <v>0</v>
      </c>
      <c r="AB20" s="39">
        <f>IF(M20=4,0,IF($M$1=C20,'Труматик гермики'!P21*H20*$AB$4*2,IF($M$2=C20,'Труматик гермики'!Q21*H20*$AB$4,0)))</f>
        <v>0</v>
      </c>
      <c r="AC20" s="39">
        <f t="shared" si="17"/>
        <v>0</v>
      </c>
      <c r="AD20" s="30">
        <f t="shared" si="5"/>
        <v>0</v>
      </c>
      <c r="AE20" s="348">
        <f t="shared" si="6"/>
        <v>0</v>
      </c>
      <c r="AF20" s="32">
        <f t="shared" si="7"/>
        <v>0</v>
      </c>
      <c r="AI20" s="33">
        <f t="shared" si="18"/>
        <v>0</v>
      </c>
      <c r="AJ20" s="33">
        <f t="shared" si="19"/>
        <v>0</v>
      </c>
      <c r="AK20" s="33">
        <f t="shared" si="20"/>
        <v>0</v>
      </c>
      <c r="AL20" s="33">
        <f t="shared" si="21"/>
        <v>0</v>
      </c>
      <c r="AM20" s="33">
        <f t="shared" si="26"/>
        <v>0</v>
      </c>
      <c r="AN20" s="33">
        <f t="shared" si="23"/>
        <v>0</v>
      </c>
      <c r="AO20" s="33">
        <f t="shared" si="8"/>
        <v>0</v>
      </c>
      <c r="AP20" s="33"/>
      <c r="AQ20" s="33">
        <f>IF(M20=1,'Труматик гермики'!S21*'Исходные данные'!$AQ$4,IF(M20=3,'Труматик гермики'!S21*'Исходные данные'!$AQ$4,0))</f>
        <v>0</v>
      </c>
      <c r="AS20">
        <f>IF(M20=2,IF('Труматик гермики'!Q21=1,0.6*'Исходные данные'!H20,IF('Труматик гермики'!Q21=2,1.5*'Исходные данные'!H20,IF('Труматик гермики'!Q21=3,1.16*'Исходные данные'!H20,IF('Труматик гермики'!Q21=4,1.34*'Исходные данные'!H20,IF('Труматик гермики'!Q21=6,1.66*'Исходные данные'!H20,IF('Труматик гермики'!Q21=7,1.82*'Исходные данные'!H20,IF('Труматик гермики'!Q21=8,1.98*'Исходные данные'!H20,IF('Труматик гермики'!Q21=9,2.14*'Исходные данные'!H20,IF('Труматик гермики'!Q21=10,2.3*'Исходные данные'!H20,IF('Труматик гермики'!Q21=11,2.46*'Исходные данные'!H20,IF('Труматик гермики'!Q21=12,2.62*'Исходные данные'!H20,IF('Труматик гермики'!Q21=13,2.78*'Исходные данные'!H20,IF('Труматик гермики'!Q21=15,3.1*'Исходные данные'!H20,0))))))))))))),IF(M20=4,IF('Труматик гермики'!Q21=1,0.6*'Исходные данные'!H20,IF('Труматик гермики'!Q21=5,1.5*'Исходные данные'!H20,IF('Труматик гермики'!Q21=3,1.16*'Исходные данные'!H20,IF('Труматик гермики'!Q21=4,1.34*'Исходные данные'!H20,IF('Труматик гермики'!Q21=6,1.66*'Исходные данные'!H20,IF('Труматик гермики'!Q21=7,1.82*'Исходные данные'!H20,IF('Труматик гермики'!Q21=8,1.98*'Исходные данные'!H20,IF('Труматик гермики'!Q21=9,2.14*'Исходные данные'!H20,IF('Труматик гермики'!Q21=10,2.3*'Исходные данные'!H20,IF('Труматик гермики'!Q21=11,2.46*'Исходные данные'!H20,IF('Труматик гермики'!Q21=12,2.62*'Исходные данные'!H20,IF('Труматик гермики'!Q21=13,2.78*'Исходные данные'!H20,IF('Труматик гермики'!Q21=15,3.1*'Исходные данные'!H20,0))))))))))))),0))</f>
        <v>0</v>
      </c>
      <c r="AU20">
        <f>IF(M20=1,IF('Труматик гермики'!P21&lt;=2,H20*1.91,IF('Труматик гермики'!P21&lt;=4,H20*2.06,IF('Труматик гермики'!P21&lt;=5,H20*2.16,IF('Труматик гермики'!P21&lt;=6,H20*2.35,IF('Труматик гермики'!P21&lt;=7,H20*2.47,IF('Труматик гермики'!P21&lt;=8,H20*2.51,IF('Труматик гермики'!P21&lt;=10,H20*2.71,IF('Труматик гермики'!P21&lt;=16,H20*4.49,IF('Труматик гермики'!P21&lt;=20,H20*4.8,IF('Труматик гермики'!P21&lt;=24,H20*5.11,IF('Труматик гермики'!P21&lt;=32,H20*6.18,0))))))))))),IF(M20=3,IF('Труматик гермики'!P21&lt;=2,H20*1.3,IF('Труматик гермики'!P21&lt;=4,H20*1.45,IF('Труматик гермики'!P21&lt;=5,H20*1.55,IF('Труматик гермики'!P21&lt;=6,H20*1.74,IF('Труматик гермики'!P21&lt;=7,H20*1.86,IF('Труматик гермики'!P21&lt;=8,H20*1.9,IF('Труматик гермики'!P21&lt;=10,H20*2.1,IF('Труматик гермики'!P21&lt;=16,H20*3.27,IF('Труматик гермики'!P21&lt;=20,H20*3.28,IF('Труматик гермики'!P21&lt;=24,H20*3.89,IF('Труматик гермики'!P21&lt;=32,H20*4.96,0))))))))))),0))</f>
        <v>0</v>
      </c>
    </row>
    <row r="21" spans="1:47">
      <c r="A21">
        <f t="shared" si="9"/>
        <v>16</v>
      </c>
      <c r="B21" s="54"/>
      <c r="C21" s="1"/>
      <c r="D21" s="1"/>
      <c r="E21" s="53"/>
      <c r="F21" s="54"/>
      <c r="G21" s="55"/>
      <c r="H21" s="54"/>
      <c r="I21" s="168" t="str">
        <f t="shared" si="25"/>
        <v>---</v>
      </c>
      <c r="J21" s="1"/>
      <c r="K21" s="87"/>
      <c r="L21" s="309" t="str">
        <f t="shared" si="0"/>
        <v>---</v>
      </c>
      <c r="M21">
        <f t="shared" si="10"/>
        <v>0</v>
      </c>
      <c r="N21">
        <f>IF(D20=$N$1,1,IF(D20=$N$2,2,IF(D20=$N$3,3,IF(D20=$N$4,4,0))))</f>
        <v>0</v>
      </c>
      <c r="O21" t="str">
        <f t="shared" si="1"/>
        <v>---</v>
      </c>
      <c r="P21" t="str">
        <f t="shared" si="2"/>
        <v>---</v>
      </c>
      <c r="Q21" s="10" t="str">
        <f t="shared" si="3"/>
        <v>---</v>
      </c>
      <c r="R21" s="43" t="str">
        <f t="shared" si="11"/>
        <v>---</v>
      </c>
      <c r="S21" s="60" t="str">
        <f t="shared" si="12"/>
        <v>---</v>
      </c>
      <c r="T21" s="39" t="str">
        <f t="shared" si="13"/>
        <v>---</v>
      </c>
      <c r="U21" s="106"/>
      <c r="V21" s="219">
        <f t="shared" si="4"/>
        <v>0</v>
      </c>
      <c r="W21" s="39">
        <f t="shared" si="14"/>
        <v>0</v>
      </c>
      <c r="X21" s="39">
        <f t="shared" si="15"/>
        <v>0</v>
      </c>
      <c r="Y21" s="39">
        <f>IF(M21=4,0,IF((AND('Задание Ножницы лента'!I24&gt;1000,'Задание Ножницы лента'!I24&lt;2000)),'Исходные данные'!$Y$3*'Исходные данные'!H21*2,IF('Задание Ножницы лента'!I24&lt;1000,$Y$4*2*H21,IF('Задание Ножницы лента'!I24&gt;2000,$Y$2*2*H21,"---"))))</f>
        <v>0</v>
      </c>
      <c r="Z21" s="39">
        <f t="shared" si="16"/>
        <v>0</v>
      </c>
      <c r="AA21" s="305">
        <f>IF(M21=$O$2,$AA$4*H21*'Труматик гермики'!Q22,IF(M21=$O$4,$AA$4*H21*'Труматик гермики'!Q22,0))</f>
        <v>0</v>
      </c>
      <c r="AB21" s="39">
        <f>IF(M21=4,0,IF($M$1=C21,'Труматик гермики'!P22*H21*$AB$4*2,IF($M$2=C21,'Труматик гермики'!Q22*H21*$AB$4,0)))</f>
        <v>0</v>
      </c>
      <c r="AC21" s="39">
        <f t="shared" si="17"/>
        <v>0</v>
      </c>
      <c r="AD21" s="30">
        <f t="shared" si="5"/>
        <v>0</v>
      </c>
      <c r="AE21" s="348">
        <f t="shared" si="6"/>
        <v>0</v>
      </c>
      <c r="AF21" s="32">
        <f t="shared" si="7"/>
        <v>0</v>
      </c>
      <c r="AI21" s="33">
        <f t="shared" si="18"/>
        <v>0</v>
      </c>
      <c r="AJ21" s="33">
        <f t="shared" si="19"/>
        <v>0</v>
      </c>
      <c r="AK21" s="33">
        <f t="shared" si="20"/>
        <v>0</v>
      </c>
      <c r="AL21" s="33">
        <f t="shared" si="21"/>
        <v>0</v>
      </c>
      <c r="AM21" s="33">
        <f t="shared" si="26"/>
        <v>0</v>
      </c>
      <c r="AN21" s="33">
        <f t="shared" si="23"/>
        <v>0</v>
      </c>
      <c r="AO21" s="33">
        <f t="shared" si="8"/>
        <v>0</v>
      </c>
      <c r="AP21" s="33"/>
      <c r="AQ21" s="33">
        <f>IF(M21=1,'Труматик гермики'!S22*'Исходные данные'!$AQ$4,IF(M21=3,'Труматик гермики'!S22*'Исходные данные'!$AQ$4,0))</f>
        <v>0</v>
      </c>
      <c r="AS21">
        <f>IF(M21=2,IF('Труматик гермики'!Q22=1,0.6*'Исходные данные'!H21,IF('Труматик гермики'!Q22=2,1.5*'Исходные данные'!H21,IF('Труматик гермики'!Q22=3,1.16*'Исходные данные'!H21,IF('Труматик гермики'!Q22=4,1.34*'Исходные данные'!H21,IF('Труматик гермики'!Q22=6,1.66*'Исходные данные'!H21,IF('Труматик гермики'!Q22=7,1.82*'Исходные данные'!H21,IF('Труматик гермики'!Q22=8,1.98*'Исходные данные'!H21,IF('Труматик гермики'!Q22=9,2.14*'Исходные данные'!H21,IF('Труматик гермики'!Q22=10,2.3*'Исходные данные'!H21,IF('Труматик гермики'!Q22=11,2.46*'Исходные данные'!H21,IF('Труматик гермики'!Q22=12,2.62*'Исходные данные'!H21,IF('Труматик гермики'!Q22=13,2.78*'Исходные данные'!H21,IF('Труматик гермики'!Q22=15,3.1*'Исходные данные'!H21,0))))))))))))),IF(M21=4,IF('Труматик гермики'!Q22=1,0.6*'Исходные данные'!H21,IF('Труматик гермики'!Q22=5,1.5*'Исходные данные'!H21,IF('Труматик гермики'!Q22=3,1.16*'Исходные данные'!H21,IF('Труматик гермики'!Q22=4,1.34*'Исходные данные'!H21,IF('Труматик гермики'!Q22=6,1.66*'Исходные данные'!H21,IF('Труматик гермики'!Q22=7,1.82*'Исходные данные'!H21,IF('Труматик гермики'!Q22=8,1.98*'Исходные данные'!H21,IF('Труматик гермики'!Q22=9,2.14*'Исходные данные'!H21,IF('Труматик гермики'!Q22=10,2.3*'Исходные данные'!H21,IF('Труматик гермики'!Q22=11,2.46*'Исходные данные'!H21,IF('Труматик гермики'!Q22=12,2.62*'Исходные данные'!H21,IF('Труматик гермики'!Q22=13,2.78*'Исходные данные'!H21,IF('Труматик гермики'!Q22=15,3.1*'Исходные данные'!H21,0))))))))))))),0))</f>
        <v>0</v>
      </c>
      <c r="AU21">
        <f>IF(M21=1,IF('Труматик гермики'!P22&lt;=2,H21*1.91,IF('Труматик гермики'!P22&lt;=4,H21*2.06,IF('Труматик гермики'!P22&lt;=5,H21*2.16,IF('Труматик гермики'!P22&lt;=6,H21*2.35,IF('Труматик гермики'!P22&lt;=7,H21*2.47,IF('Труматик гермики'!P22&lt;=8,H21*2.51,IF('Труматик гермики'!P22&lt;=10,H21*2.71,IF('Труматик гермики'!P22&lt;=16,H21*4.49,IF('Труматик гермики'!P22&lt;=20,H21*4.8,IF('Труматик гермики'!P22&lt;=24,H21*5.11,IF('Труматик гермики'!P22&lt;=32,H21*6.18,0))))))))))),IF(M21=3,IF('Труматик гермики'!P22&lt;=2,H21*1.3,IF('Труматик гермики'!P22&lt;=4,H21*1.45,IF('Труматик гермики'!P22&lt;=5,H21*1.55,IF('Труматик гермики'!P22&lt;=6,H21*1.74,IF('Труматик гермики'!P22&lt;=7,H21*1.86,IF('Труматик гермики'!P22&lt;=8,H21*1.9,IF('Труматик гермики'!P22&lt;=10,H21*2.1,IF('Труматик гермики'!P22&lt;=16,H21*3.27,IF('Труматик гермики'!P22&lt;=20,H21*3.28,IF('Труматик гермики'!P22&lt;=24,H21*3.89,IF('Труматик гермики'!P22&lt;=32,H21*4.96,0))))))))))),0))</f>
        <v>0</v>
      </c>
    </row>
    <row r="22" spans="1:47">
      <c r="A22">
        <f t="shared" si="9"/>
        <v>17</v>
      </c>
      <c r="B22" s="54"/>
      <c r="C22" s="56"/>
      <c r="D22" s="56"/>
      <c r="E22" s="56"/>
      <c r="F22" s="56"/>
      <c r="G22" s="56"/>
      <c r="H22" s="56"/>
      <c r="I22" s="168" t="str">
        <f t="shared" si="25"/>
        <v>---</v>
      </c>
      <c r="J22" s="1"/>
      <c r="K22" s="87"/>
      <c r="L22" s="309" t="str">
        <f t="shared" si="0"/>
        <v>---</v>
      </c>
      <c r="M22">
        <f t="shared" si="10"/>
        <v>0</v>
      </c>
      <c r="O22" t="str">
        <f t="shared" si="1"/>
        <v>---</v>
      </c>
      <c r="P22" t="str">
        <f t="shared" si="2"/>
        <v>---</v>
      </c>
      <c r="Q22" s="10" t="str">
        <f t="shared" si="3"/>
        <v>---</v>
      </c>
      <c r="R22" s="43" t="str">
        <f t="shared" si="11"/>
        <v>---</v>
      </c>
      <c r="S22" s="60" t="str">
        <f t="shared" si="12"/>
        <v>---</v>
      </c>
      <c r="T22" s="39" t="str">
        <f t="shared" si="13"/>
        <v>---</v>
      </c>
      <c r="U22" s="106"/>
      <c r="V22" s="219">
        <f t="shared" si="4"/>
        <v>0</v>
      </c>
      <c r="W22" s="39">
        <f t="shared" si="14"/>
        <v>0</v>
      </c>
      <c r="X22" s="39">
        <f t="shared" si="15"/>
        <v>0</v>
      </c>
      <c r="Y22" s="39">
        <f>IF(M22=4,0,IF((AND('Задание Ножницы лента'!I25&gt;1000,'Задание Ножницы лента'!I25&lt;2000)),'Исходные данные'!$Y$3*'Исходные данные'!H22*2,IF('Задание Ножницы лента'!I25&lt;1000,$Y$4*2*H22,IF('Задание Ножницы лента'!I25&gt;2000,$Y$2*2*H22,"---"))))</f>
        <v>0</v>
      </c>
      <c r="Z22" s="39">
        <f t="shared" si="16"/>
        <v>0</v>
      </c>
      <c r="AA22" s="305">
        <f>IF(M22=$O$2,$AA$4*H22*'Труматик гермики'!Q23,IF(M22=$O$4,$AA$4*H22*'Труматик гермики'!Q23,0))</f>
        <v>0</v>
      </c>
      <c r="AB22" s="39">
        <f>IF(M22=4,0,IF($M$1=C22,'Труматик гермики'!P23*H22*$AB$4*2,IF($M$2=C22,'Труматик гермики'!Q23*H22*$AB$4,0)))</f>
        <v>0</v>
      </c>
      <c r="AC22" s="39">
        <f t="shared" si="17"/>
        <v>0</v>
      </c>
      <c r="AD22" s="30">
        <f t="shared" si="5"/>
        <v>0</v>
      </c>
      <c r="AE22" s="348">
        <f t="shared" si="6"/>
        <v>0</v>
      </c>
      <c r="AF22" s="32">
        <f t="shared" si="7"/>
        <v>0</v>
      </c>
      <c r="AI22" s="33">
        <f t="shared" si="18"/>
        <v>0</v>
      </c>
      <c r="AJ22" s="33">
        <f t="shared" si="19"/>
        <v>0</v>
      </c>
      <c r="AK22" s="33">
        <f t="shared" si="20"/>
        <v>0</v>
      </c>
      <c r="AL22" s="33">
        <f t="shared" si="21"/>
        <v>0</v>
      </c>
      <c r="AM22" s="33">
        <f t="shared" si="26"/>
        <v>0</v>
      </c>
      <c r="AN22" s="33">
        <f t="shared" si="23"/>
        <v>0</v>
      </c>
      <c r="AO22" s="33">
        <f t="shared" si="8"/>
        <v>0</v>
      </c>
      <c r="AP22" s="33"/>
      <c r="AQ22" s="33">
        <f>IF(M22=1,'Труматик гермики'!S23*'Исходные данные'!$AQ$4,IF(M22=3,'Труматик гермики'!S23*'Исходные данные'!$AQ$4,0))</f>
        <v>0</v>
      </c>
      <c r="AS22">
        <f>IF(M22=2,IF('Труматик гермики'!Q23=1,0.6*'Исходные данные'!H22,IF('Труматик гермики'!Q23=2,1.5*'Исходные данные'!H22,IF('Труматик гермики'!Q23=3,1.16*'Исходные данные'!H22,IF('Труматик гермики'!Q23=4,1.34*'Исходные данные'!H22,IF('Труматик гермики'!Q23=6,1.66*'Исходные данные'!H22,IF('Труматик гермики'!Q23=7,1.82*'Исходные данные'!H22,IF('Труматик гермики'!Q23=8,1.98*'Исходные данные'!H22,IF('Труматик гермики'!Q23=9,2.14*'Исходные данные'!H22,IF('Труматик гермики'!Q23=10,2.3*'Исходные данные'!H22,IF('Труматик гермики'!Q23=11,2.46*'Исходные данные'!H22,IF('Труматик гермики'!Q23=12,2.62*'Исходные данные'!H22,IF('Труматик гермики'!Q23=13,2.78*'Исходные данные'!H22,IF('Труматик гермики'!Q23=15,3.1*'Исходные данные'!H22,0))))))))))))),IF(M22=4,IF('Труматик гермики'!Q23=1,0.6*'Исходные данные'!H22,IF('Труматик гермики'!Q23=5,1.5*'Исходные данные'!H22,IF('Труматик гермики'!Q23=3,1.16*'Исходные данные'!H22,IF('Труматик гермики'!Q23=4,1.34*'Исходные данные'!H22,IF('Труматик гермики'!Q23=6,1.66*'Исходные данные'!H22,IF('Труматик гермики'!Q23=7,1.82*'Исходные данные'!H22,IF('Труматик гермики'!Q23=8,1.98*'Исходные данные'!H22,IF('Труматик гермики'!Q23=9,2.14*'Исходные данные'!H22,IF('Труматик гермики'!Q23=10,2.3*'Исходные данные'!H22,IF('Труматик гермики'!Q23=11,2.46*'Исходные данные'!H22,IF('Труматик гермики'!Q23=12,2.62*'Исходные данные'!H22,IF('Труматик гермики'!Q23=13,2.78*'Исходные данные'!H22,IF('Труматик гермики'!Q23=15,3.1*'Исходные данные'!H22,0))))))))))))),0))</f>
        <v>0</v>
      </c>
      <c r="AU22">
        <f>IF(M22=1,IF('Труматик гермики'!P23&lt;=2,H22*1.91,IF('Труматик гермики'!P23&lt;=4,H22*2.06,IF('Труматик гермики'!P23&lt;=5,H22*2.16,IF('Труматик гермики'!P23&lt;=6,H22*2.35,IF('Труматик гермики'!P23&lt;=7,H22*2.47,IF('Труматик гермики'!P23&lt;=8,H22*2.51,IF('Труматик гермики'!P23&lt;=10,H22*2.71,IF('Труматик гермики'!P23&lt;=16,H22*4.49,IF('Труматик гермики'!P23&lt;=20,H22*4.8,IF('Труматик гермики'!P23&lt;=24,H22*5.11,IF('Труматик гермики'!P23&lt;=32,H22*6.18,0))))))))))),IF(M22=3,IF('Труматик гермики'!P23&lt;=2,H22*1.3,IF('Труматик гермики'!P23&lt;=4,H22*1.45,IF('Труматик гермики'!P23&lt;=5,H22*1.55,IF('Труматик гермики'!P23&lt;=6,H22*1.74,IF('Труматик гермики'!P23&lt;=7,H22*1.86,IF('Труматик гермики'!P23&lt;=8,H22*1.9,IF('Труматик гермики'!P23&lt;=10,H22*2.1,IF('Труматик гермики'!P23&lt;=16,H22*3.27,IF('Труматик гермики'!P23&lt;=20,H22*3.28,IF('Труматик гермики'!P23&lt;=24,H22*3.89,IF('Труматик гермики'!P23&lt;=32,H22*4.96,0))))))))))),0))</f>
        <v>0</v>
      </c>
    </row>
    <row r="23" spans="1:47">
      <c r="A23">
        <f t="shared" si="9"/>
        <v>18</v>
      </c>
      <c r="B23" s="54"/>
      <c r="C23" s="56"/>
      <c r="D23" s="56"/>
      <c r="E23" s="56"/>
      <c r="F23" s="56"/>
      <c r="G23" s="56"/>
      <c r="H23" s="56"/>
      <c r="I23" s="168" t="str">
        <f t="shared" si="25"/>
        <v>---</v>
      </c>
      <c r="J23" s="1"/>
      <c r="K23" s="87"/>
      <c r="L23" s="309" t="str">
        <f t="shared" si="0"/>
        <v>---</v>
      </c>
      <c r="M23">
        <f t="shared" si="10"/>
        <v>0</v>
      </c>
      <c r="O23" t="str">
        <f t="shared" si="1"/>
        <v>---</v>
      </c>
      <c r="P23" t="str">
        <f t="shared" si="2"/>
        <v>---</v>
      </c>
      <c r="Q23" s="10" t="str">
        <f t="shared" si="3"/>
        <v>---</v>
      </c>
      <c r="R23" s="43" t="str">
        <f t="shared" si="11"/>
        <v>---</v>
      </c>
      <c r="S23" s="60" t="str">
        <f t="shared" si="12"/>
        <v>---</v>
      </c>
      <c r="T23" s="39" t="str">
        <f t="shared" si="13"/>
        <v>---</v>
      </c>
      <c r="U23" s="106"/>
      <c r="V23" s="219">
        <f t="shared" si="4"/>
        <v>0</v>
      </c>
      <c r="W23" s="39">
        <f t="shared" si="14"/>
        <v>0</v>
      </c>
      <c r="X23" s="39">
        <f t="shared" si="15"/>
        <v>0</v>
      </c>
      <c r="Y23" s="39">
        <f>IF(M23=4,0,IF((AND('Задание Ножницы лента'!I26&gt;1000,'Задание Ножницы лента'!I26&lt;2000)),'Исходные данные'!$Y$3*'Исходные данные'!H23*2,IF('Задание Ножницы лента'!I26&lt;1000,$Y$4*2*H23,IF('Задание Ножницы лента'!I26&gt;2000,$Y$2*2*H23,"---"))))</f>
        <v>0</v>
      </c>
      <c r="Z23" s="39">
        <f t="shared" si="16"/>
        <v>0</v>
      </c>
      <c r="AA23" s="305">
        <f>IF(M23=$O$2,$AA$4*H23*'Труматик гермики'!Q24,IF(M23=$O$4,$AA$4*H23*'Труматик гермики'!Q24,0))</f>
        <v>0</v>
      </c>
      <c r="AB23" s="39">
        <f>IF(M23=4,0,IF($M$1=C23,'Труматик гермики'!P24*H23*$AB$4*2,IF($M$2=C23,'Труматик гермики'!Q24*H23*$AB$4,0)))</f>
        <v>0</v>
      </c>
      <c r="AC23" s="39">
        <f t="shared" si="17"/>
        <v>0</v>
      </c>
      <c r="AD23" s="30">
        <f t="shared" si="5"/>
        <v>0</v>
      </c>
      <c r="AE23" s="348">
        <f t="shared" si="6"/>
        <v>0</v>
      </c>
      <c r="AF23" s="32">
        <f t="shared" si="7"/>
        <v>0</v>
      </c>
      <c r="AI23" s="33">
        <f t="shared" si="18"/>
        <v>0</v>
      </c>
      <c r="AJ23" s="33">
        <f t="shared" si="19"/>
        <v>0</v>
      </c>
      <c r="AK23" s="33">
        <f t="shared" si="20"/>
        <v>0</v>
      </c>
      <c r="AL23" s="33">
        <f t="shared" si="21"/>
        <v>0</v>
      </c>
      <c r="AM23" s="33">
        <f t="shared" si="26"/>
        <v>0</v>
      </c>
      <c r="AN23" s="33">
        <f t="shared" si="23"/>
        <v>0</v>
      </c>
      <c r="AO23" s="33">
        <f t="shared" si="8"/>
        <v>0</v>
      </c>
      <c r="AP23" s="33"/>
      <c r="AQ23" s="33">
        <f>IF(M23=1,'Труматик гермики'!S24*'Исходные данные'!$AQ$4,IF(M23=3,'Труматик гермики'!S24*'Исходные данные'!$AQ$4,0))</f>
        <v>0</v>
      </c>
      <c r="AS23">
        <f>IF(M23=2,IF('Труматик гермики'!Q24=1,0.6*'Исходные данные'!H23,IF('Труматик гермики'!Q24=2,1.5*'Исходные данные'!H23,IF('Труматик гермики'!Q24=3,1.16*'Исходные данные'!H23,IF('Труматик гермики'!Q24=4,1.34*'Исходные данные'!H23,IF('Труматик гермики'!Q24=6,1.66*'Исходные данные'!H23,IF('Труматик гермики'!Q24=7,1.82*'Исходные данные'!H23,IF('Труматик гермики'!Q24=8,1.98*'Исходные данные'!H23,IF('Труматик гермики'!Q24=9,2.14*'Исходные данные'!H23,IF('Труматик гермики'!Q24=10,2.3*'Исходные данные'!H23,IF('Труматик гермики'!Q24=11,2.46*'Исходные данные'!H23,IF('Труматик гермики'!Q24=12,2.62*'Исходные данные'!H23,IF('Труматик гермики'!Q24=13,2.78*'Исходные данные'!H23,IF('Труматик гермики'!Q24=15,3.1*'Исходные данные'!H23,0))))))))))))),IF(M23=4,IF('Труматик гермики'!Q24=1,0.6*'Исходные данные'!H23,IF('Труматик гермики'!Q24=5,1.5*'Исходные данные'!H23,IF('Труматик гермики'!Q24=3,1.16*'Исходные данные'!H23,IF('Труматик гермики'!Q24=4,1.34*'Исходные данные'!H23,IF('Труматик гермики'!Q24=6,1.66*'Исходные данные'!H23,IF('Труматик гермики'!Q24=7,1.82*'Исходные данные'!H23,IF('Труматик гермики'!Q24=8,1.98*'Исходные данные'!H23,IF('Труматик гермики'!Q24=9,2.14*'Исходные данные'!H23,IF('Труматик гермики'!Q24=10,2.3*'Исходные данные'!H23,IF('Труматик гермики'!Q24=11,2.46*'Исходные данные'!H23,IF('Труматик гермики'!Q24=12,2.62*'Исходные данные'!H23,IF('Труматик гермики'!Q24=13,2.78*'Исходные данные'!H23,IF('Труматик гермики'!Q24=15,3.1*'Исходные данные'!H23,0))))))))))))),0))</f>
        <v>0</v>
      </c>
      <c r="AU23">
        <f>IF(M23=1,IF('Труматик гермики'!P24&lt;=2,H23*1.91,IF('Труматик гермики'!P24&lt;=4,H23*2.06,IF('Труматик гермики'!P24&lt;=5,H23*2.16,IF('Труматик гермики'!P24&lt;=6,H23*2.35,IF('Труматик гермики'!P24&lt;=7,H23*2.47,IF('Труматик гермики'!P24&lt;=8,H23*2.51,IF('Труматик гермики'!P24&lt;=10,H23*2.71,IF('Труматик гермики'!P24&lt;=16,H23*4.49,IF('Труматик гермики'!P24&lt;=20,H23*4.8,IF('Труматик гермики'!P24&lt;=24,H23*5.11,IF('Труматик гермики'!P24&lt;=32,H23*6.18,0))))))))))),IF(M23=3,IF('Труматик гермики'!P24&lt;=2,H23*1.3,IF('Труматик гермики'!P24&lt;=4,H23*1.45,IF('Труматик гермики'!P24&lt;=5,H23*1.55,IF('Труматик гермики'!P24&lt;=6,H23*1.74,IF('Труматик гермики'!P24&lt;=7,H23*1.86,IF('Труматик гермики'!P24&lt;=8,H23*1.9,IF('Труматик гермики'!P24&lt;=10,H23*2.1,IF('Труматик гермики'!P24&lt;=16,H23*3.27,IF('Труматик гермики'!P24&lt;=20,H23*3.28,IF('Труматик гермики'!P24&lt;=24,H23*3.89,IF('Труматик гермики'!P24&lt;=32,H23*4.96,0))))))))))),0))</f>
        <v>0</v>
      </c>
    </row>
    <row r="24" spans="1:47">
      <c r="A24">
        <f t="shared" si="9"/>
        <v>19</v>
      </c>
      <c r="B24" s="54"/>
      <c r="C24" s="56"/>
      <c r="D24" s="56"/>
      <c r="E24" s="56"/>
      <c r="F24" s="56"/>
      <c r="G24" s="56"/>
      <c r="H24" s="56"/>
      <c r="I24" s="168" t="str">
        <f t="shared" si="25"/>
        <v>---</v>
      </c>
      <c r="J24" s="1"/>
      <c r="K24" s="87"/>
      <c r="L24" s="309" t="str">
        <f t="shared" si="0"/>
        <v>---</v>
      </c>
      <c r="M24">
        <f t="shared" si="10"/>
        <v>0</v>
      </c>
      <c r="O24" t="str">
        <f t="shared" si="1"/>
        <v>---</v>
      </c>
      <c r="P24" t="str">
        <f t="shared" si="2"/>
        <v>---</v>
      </c>
      <c r="Q24" s="10" t="str">
        <f t="shared" si="3"/>
        <v>---</v>
      </c>
      <c r="R24" s="43" t="str">
        <f t="shared" si="11"/>
        <v>---</v>
      </c>
      <c r="S24" s="60" t="str">
        <f t="shared" si="12"/>
        <v>---</v>
      </c>
      <c r="T24" s="39" t="str">
        <f t="shared" si="13"/>
        <v>---</v>
      </c>
      <c r="U24" s="106"/>
      <c r="V24" s="219">
        <f t="shared" si="4"/>
        <v>0</v>
      </c>
      <c r="W24" s="39">
        <f t="shared" si="14"/>
        <v>0</v>
      </c>
      <c r="X24" s="39">
        <f t="shared" si="15"/>
        <v>0</v>
      </c>
      <c r="Y24" s="39">
        <f>IF(M24=4,0,IF((AND('Задание Ножницы лента'!I27&gt;1000,'Задание Ножницы лента'!I27&lt;2000)),'Исходные данные'!$Y$3*'Исходные данные'!H24*2,IF('Задание Ножницы лента'!I27&lt;1000,$Y$4*2*H24,IF('Задание Ножницы лента'!I27&gt;2000,$Y$2*2*H24,"---"))))</f>
        <v>0</v>
      </c>
      <c r="Z24" s="39">
        <f t="shared" si="16"/>
        <v>0</v>
      </c>
      <c r="AA24" s="305">
        <f>IF(M24=$O$2,$AA$4*H24*'Труматик гермики'!Q25,IF(M24=$O$4,$AA$4*H24*'Труматик гермики'!Q25,0))</f>
        <v>0</v>
      </c>
      <c r="AB24" s="39">
        <f>IF(M24=4,0,IF($M$1=C24,'Труматик гермики'!P25*H24*$AB$4*2,IF($M$2=C24,'Труматик гермики'!Q25*H24*$AB$4,0)))</f>
        <v>0</v>
      </c>
      <c r="AC24" s="39">
        <f t="shared" si="17"/>
        <v>0</v>
      </c>
      <c r="AD24" s="30">
        <f t="shared" si="5"/>
        <v>0</v>
      </c>
      <c r="AE24" s="348">
        <f t="shared" si="6"/>
        <v>0</v>
      </c>
      <c r="AF24" s="32">
        <f t="shared" si="7"/>
        <v>0</v>
      </c>
      <c r="AI24" s="33">
        <f t="shared" si="18"/>
        <v>0</v>
      </c>
      <c r="AJ24" s="33">
        <f t="shared" si="19"/>
        <v>0</v>
      </c>
      <c r="AK24" s="33">
        <f t="shared" si="20"/>
        <v>0</v>
      </c>
      <c r="AL24" s="33">
        <f t="shared" si="21"/>
        <v>0</v>
      </c>
      <c r="AM24" s="33">
        <f t="shared" si="26"/>
        <v>0</v>
      </c>
      <c r="AN24" s="33">
        <f t="shared" si="23"/>
        <v>0</v>
      </c>
      <c r="AO24" s="33">
        <f t="shared" si="8"/>
        <v>0</v>
      </c>
      <c r="AP24" s="33"/>
      <c r="AQ24" s="33">
        <f>IF(M24=1,'Труматик гермики'!S25*'Исходные данные'!$AQ$4,IF(M24=3,'Труматик гермики'!S25*'Исходные данные'!$AQ$4,0))</f>
        <v>0</v>
      </c>
      <c r="AS24">
        <f>IF(M24=2,IF('Труматик гермики'!Q25=1,0.6*'Исходные данные'!H24,IF('Труматик гермики'!Q25=2,1.5*'Исходные данные'!H24,IF('Труматик гермики'!Q25=3,1.16*'Исходные данные'!H24,IF('Труматик гермики'!Q25=4,1.34*'Исходные данные'!H24,IF('Труматик гермики'!Q25=6,1.66*'Исходные данные'!H24,IF('Труматик гермики'!Q25=7,1.82*'Исходные данные'!H24,IF('Труматик гермики'!Q25=8,1.98*'Исходные данные'!H24,IF('Труматик гермики'!Q25=9,2.14*'Исходные данные'!H24,IF('Труматик гермики'!Q25=10,2.3*'Исходные данные'!H24,IF('Труматик гермики'!Q25=11,2.46*'Исходные данные'!H24,IF('Труматик гермики'!Q25=12,2.62*'Исходные данные'!H24,IF('Труматик гермики'!Q25=13,2.78*'Исходные данные'!H24,IF('Труматик гермики'!Q25=15,3.1*'Исходные данные'!H24,0))))))))))))),IF(M24=4,IF('Труматик гермики'!Q25=1,0.6*'Исходные данные'!H24,IF('Труматик гермики'!Q25=5,1.5*'Исходные данные'!H24,IF('Труматик гермики'!Q25=3,1.16*'Исходные данные'!H24,IF('Труматик гермики'!Q25=4,1.34*'Исходные данные'!H24,IF('Труматик гермики'!Q25=6,1.66*'Исходные данные'!H24,IF('Труматик гермики'!Q25=7,1.82*'Исходные данные'!H24,IF('Труматик гермики'!Q25=8,1.98*'Исходные данные'!H24,IF('Труматик гермики'!Q25=9,2.14*'Исходные данные'!H24,IF('Труматик гермики'!Q25=10,2.3*'Исходные данные'!H24,IF('Труматик гермики'!Q25=11,2.46*'Исходные данные'!H24,IF('Труматик гермики'!Q25=12,2.62*'Исходные данные'!H24,IF('Труматик гермики'!Q25=13,2.78*'Исходные данные'!H24,IF('Труматик гермики'!Q25=15,3.1*'Исходные данные'!H24,0))))))))))))),0))</f>
        <v>0</v>
      </c>
      <c r="AU24">
        <f>IF(M24=1,IF('Труматик гермики'!P25&lt;=2,H24*1.91,IF('Труматик гермики'!P25&lt;=4,H24*2.06,IF('Труматик гермики'!P25&lt;=5,H24*2.16,IF('Труматик гермики'!P25&lt;=6,H24*2.35,IF('Труматик гермики'!P25&lt;=7,H24*2.47,IF('Труматик гермики'!P25&lt;=8,H24*2.51,IF('Труматик гермики'!P25&lt;=10,H24*2.71,IF('Труматик гермики'!P25&lt;=16,H24*4.49,IF('Труматик гермики'!P25&lt;=20,H24*4.8,IF('Труматик гермики'!P25&lt;=24,H24*5.11,IF('Труматик гермики'!P25&lt;=32,H24*6.18,0))))))))))),IF(M24=3,IF('Труматик гермики'!P25&lt;=2,H24*1.3,IF('Труматик гермики'!P25&lt;=4,H24*1.45,IF('Труматик гермики'!P25&lt;=5,H24*1.55,IF('Труматик гермики'!P25&lt;=6,H24*1.74,IF('Труматик гермики'!P25&lt;=7,H24*1.86,IF('Труматик гермики'!P25&lt;=8,H24*1.9,IF('Труматик гермики'!P25&lt;=10,H24*2.1,IF('Труматик гермики'!P25&lt;=16,H24*3.27,IF('Труматик гермики'!P25&lt;=20,H24*3.28,IF('Труматик гермики'!P25&lt;=24,H24*3.89,IF('Труматик гермики'!P25&lt;=32,H24*4.96,0))))))))))),0))</f>
        <v>0</v>
      </c>
    </row>
    <row r="25" spans="1:47">
      <c r="A25">
        <f t="shared" si="9"/>
        <v>20</v>
      </c>
      <c r="B25" s="54"/>
      <c r="C25" s="56"/>
      <c r="D25" s="56"/>
      <c r="E25" s="56"/>
      <c r="F25" s="56"/>
      <c r="G25" s="56"/>
      <c r="H25" s="56"/>
      <c r="I25" s="168" t="str">
        <f t="shared" si="25"/>
        <v>---</v>
      </c>
      <c r="J25" s="1"/>
      <c r="K25" s="87"/>
      <c r="L25" s="309" t="str">
        <f t="shared" si="0"/>
        <v>---</v>
      </c>
      <c r="M25">
        <f t="shared" si="10"/>
        <v>0</v>
      </c>
      <c r="O25" t="str">
        <f t="shared" si="1"/>
        <v>---</v>
      </c>
      <c r="P25" t="str">
        <f t="shared" si="2"/>
        <v>---</v>
      </c>
      <c r="Q25" s="10" t="str">
        <f t="shared" si="3"/>
        <v>---</v>
      </c>
      <c r="R25" s="43" t="str">
        <f t="shared" si="11"/>
        <v>---</v>
      </c>
      <c r="S25" s="60" t="str">
        <f t="shared" si="12"/>
        <v>---</v>
      </c>
      <c r="T25" s="39" t="str">
        <f t="shared" si="13"/>
        <v>---</v>
      </c>
      <c r="U25" s="106"/>
      <c r="V25" s="219">
        <f t="shared" si="4"/>
        <v>0</v>
      </c>
      <c r="W25" s="39">
        <f t="shared" si="14"/>
        <v>0</v>
      </c>
      <c r="X25" s="39">
        <f t="shared" si="15"/>
        <v>0</v>
      </c>
      <c r="Y25" s="39">
        <f>IF(M25=4,0,IF((AND('Задание Ножницы лента'!I28&gt;1000,'Задание Ножницы лента'!I28&lt;2000)),'Исходные данные'!$Y$3*'Исходные данные'!H25*2,IF('Задание Ножницы лента'!I28&lt;1000,$Y$4*2*H25,IF('Задание Ножницы лента'!I28&gt;2000,$Y$2*2*H25,"---"))))</f>
        <v>0</v>
      </c>
      <c r="Z25" s="39">
        <f t="shared" si="16"/>
        <v>0</v>
      </c>
      <c r="AA25" s="305">
        <f>IF(M25=$O$2,$AA$4*H25*'Труматик гермики'!Q26,IF(M25=$O$4,$AA$4*H25*'Труматик гермики'!Q26,0))</f>
        <v>0</v>
      </c>
      <c r="AB25" s="39">
        <f>IF(M25=4,0,IF($M$1=C25,'Труматик гермики'!P26*H25*$AB$4*2,IF($M$2=C25,'Труматик гермики'!Q26*H25*$AB$4,0)))</f>
        <v>0</v>
      </c>
      <c r="AC25" s="39">
        <f t="shared" si="17"/>
        <v>0</v>
      </c>
      <c r="AD25" s="30">
        <f t="shared" si="5"/>
        <v>0</v>
      </c>
      <c r="AE25" s="348">
        <f t="shared" si="6"/>
        <v>0</v>
      </c>
      <c r="AF25" s="32">
        <f t="shared" si="7"/>
        <v>0</v>
      </c>
      <c r="AI25" s="33">
        <f t="shared" si="18"/>
        <v>0</v>
      </c>
      <c r="AJ25" s="33">
        <f t="shared" si="19"/>
        <v>0</v>
      </c>
      <c r="AK25" s="33">
        <f t="shared" si="20"/>
        <v>0</v>
      </c>
      <c r="AL25" s="33">
        <f t="shared" si="21"/>
        <v>0</v>
      </c>
      <c r="AM25" s="33">
        <f t="shared" si="26"/>
        <v>0</v>
      </c>
      <c r="AN25" s="33">
        <f t="shared" si="23"/>
        <v>0</v>
      </c>
      <c r="AO25" s="33">
        <f t="shared" si="8"/>
        <v>0</v>
      </c>
      <c r="AP25" s="33"/>
      <c r="AQ25" s="33">
        <f>IF(M25=1,'Труматик гермики'!S26*'Исходные данные'!$AQ$4,IF(M25=3,'Труматик гермики'!S26*'Исходные данные'!$AQ$4,0))</f>
        <v>0</v>
      </c>
      <c r="AS25">
        <f>IF(M25=2,IF('Труматик гермики'!Q26=1,0.6*'Исходные данные'!H25,IF('Труматик гермики'!Q26=2,1.5*'Исходные данные'!H25,IF('Труматик гермики'!Q26=3,1.16*'Исходные данные'!H25,IF('Труматик гермики'!Q26=4,1.34*'Исходные данные'!H25,IF('Труматик гермики'!Q26=6,1.66*'Исходные данные'!H25,IF('Труматик гермики'!Q26=7,1.82*'Исходные данные'!H25,IF('Труматик гермики'!Q26=8,1.98*'Исходные данные'!H25,IF('Труматик гермики'!Q26=9,2.14*'Исходные данные'!H25,IF('Труматик гермики'!Q26=10,2.3*'Исходные данные'!H25,IF('Труматик гермики'!Q26=11,2.46*'Исходные данные'!H25,IF('Труматик гермики'!Q26=12,2.62*'Исходные данные'!H25,IF('Труматик гермики'!Q26=13,2.78*'Исходные данные'!H25,IF('Труматик гермики'!Q26=15,3.1*'Исходные данные'!H25,0))))))))))))),IF(M25=4,IF('Труматик гермики'!Q26=1,0.6*'Исходные данные'!H25,IF('Труматик гермики'!Q26=5,1.5*'Исходные данные'!H25,IF('Труматик гермики'!Q26=3,1.16*'Исходные данные'!H25,IF('Труматик гермики'!Q26=4,1.34*'Исходные данные'!H25,IF('Труматик гермики'!Q26=6,1.66*'Исходные данные'!H25,IF('Труматик гермики'!Q26=7,1.82*'Исходные данные'!H25,IF('Труматик гермики'!Q26=8,1.98*'Исходные данные'!H25,IF('Труматик гермики'!Q26=9,2.14*'Исходные данные'!H25,IF('Труматик гермики'!Q26=10,2.3*'Исходные данные'!H25,IF('Труматик гермики'!Q26=11,2.46*'Исходные данные'!H25,IF('Труматик гермики'!Q26=12,2.62*'Исходные данные'!H25,IF('Труматик гермики'!Q26=13,2.78*'Исходные данные'!H25,IF('Труматик гермики'!Q26=15,3.1*'Исходные данные'!H25,0))))))))))))),0))</f>
        <v>0</v>
      </c>
      <c r="AU25">
        <f>IF(M25=1,IF('Труматик гермики'!P26&lt;=2,H25*1.91,IF('Труматик гермики'!P26&lt;=4,H25*2.06,IF('Труматик гермики'!P26&lt;=5,H25*2.16,IF('Труматик гермики'!P26&lt;=6,H25*2.35,IF('Труматик гермики'!P26&lt;=7,H25*2.47,IF('Труматик гермики'!P26&lt;=8,H25*2.51,IF('Труматик гермики'!P26&lt;=10,H25*2.71,IF('Труматик гермики'!P26&lt;=16,H25*4.49,IF('Труматик гермики'!P26&lt;=20,H25*4.8,IF('Труматик гермики'!P26&lt;=24,H25*5.11,IF('Труматик гермики'!P26&lt;=32,H25*6.18,0))))))))))),IF(M25=3,IF('Труматик гермики'!P26&lt;=2,H25*1.3,IF('Труматик гермики'!P26&lt;=4,H25*1.45,IF('Труматик гермики'!P26&lt;=5,H25*1.55,IF('Труматик гермики'!P26&lt;=6,H25*1.74,IF('Труматик гермики'!P26&lt;=7,H25*1.86,IF('Труматик гермики'!P26&lt;=8,H25*1.9,IF('Труматик гермики'!P26&lt;=10,H25*2.1,IF('Труматик гермики'!P26&lt;=16,H25*3.27,IF('Труматик гермики'!P26&lt;=20,H25*3.28,IF('Труматик гермики'!P26&lt;=24,H25*3.89,IF('Труматик гермики'!P26&lt;=32,H25*4.96,0))))))))))),0))</f>
        <v>0</v>
      </c>
    </row>
    <row r="26" spans="1:47">
      <c r="A26">
        <f t="shared" si="9"/>
        <v>21</v>
      </c>
      <c r="B26" s="54"/>
      <c r="C26" s="56"/>
      <c r="D26" s="56"/>
      <c r="E26" s="56"/>
      <c r="F26" s="56"/>
      <c r="G26" s="56"/>
      <c r="H26" s="56"/>
      <c r="I26" s="168" t="str">
        <f t="shared" si="25"/>
        <v>---</v>
      </c>
      <c r="J26" s="1"/>
      <c r="K26" s="87"/>
      <c r="L26" s="309" t="str">
        <f t="shared" si="0"/>
        <v>---</v>
      </c>
      <c r="M26">
        <f t="shared" si="10"/>
        <v>0</v>
      </c>
      <c r="O26" t="str">
        <f t="shared" si="1"/>
        <v>---</v>
      </c>
      <c r="P26" t="str">
        <f t="shared" si="2"/>
        <v>---</v>
      </c>
      <c r="Q26" s="10" t="str">
        <f t="shared" si="3"/>
        <v>---</v>
      </c>
      <c r="R26" s="43" t="str">
        <f t="shared" si="11"/>
        <v>---</v>
      </c>
      <c r="S26" s="60" t="str">
        <f t="shared" si="12"/>
        <v>---</v>
      </c>
      <c r="T26" s="39" t="str">
        <f t="shared" si="13"/>
        <v>---</v>
      </c>
      <c r="U26" s="106"/>
      <c r="V26" s="219">
        <f t="shared" si="4"/>
        <v>0</v>
      </c>
      <c r="W26" s="39">
        <f t="shared" si="14"/>
        <v>0</v>
      </c>
      <c r="X26" s="39">
        <f t="shared" si="15"/>
        <v>0</v>
      </c>
      <c r="Y26" s="39">
        <f>IF(M26=4,0,IF((AND('Задание Ножницы лента'!I29&gt;1000,'Задание Ножницы лента'!I29&lt;2000)),'Исходные данные'!$Y$3*'Исходные данные'!H26*2,IF('Задание Ножницы лента'!I29&lt;1000,$Y$4*2*H26,IF('Задание Ножницы лента'!I29&gt;2000,$Y$2*2*H26,"---"))))</f>
        <v>0</v>
      </c>
      <c r="Z26" s="39">
        <f t="shared" si="16"/>
        <v>0</v>
      </c>
      <c r="AA26" s="305">
        <f>IF(M26=$O$2,$AA$4*H26*'Труматик гермики'!Q27,IF(M26=$O$4,$AA$4*H26*'Труматик гермики'!Q27,0))</f>
        <v>0</v>
      </c>
      <c r="AB26" s="39">
        <f>IF(M26=4,0,IF($M$1=C26,'Труматик гермики'!P27*H26*$AB$4*2,IF($M$2=C26,'Труматик гермики'!Q27*H26*$AB$4,0)))</f>
        <v>0</v>
      </c>
      <c r="AC26" s="39">
        <f t="shared" si="17"/>
        <v>0</v>
      </c>
      <c r="AD26" s="30">
        <f t="shared" si="5"/>
        <v>0</v>
      </c>
      <c r="AE26" s="348">
        <f t="shared" si="6"/>
        <v>0</v>
      </c>
      <c r="AF26" s="32">
        <f t="shared" si="7"/>
        <v>0</v>
      </c>
      <c r="AI26" s="33">
        <f t="shared" si="18"/>
        <v>0</v>
      </c>
      <c r="AJ26" s="33">
        <f t="shared" si="19"/>
        <v>0</v>
      </c>
      <c r="AK26" s="33">
        <f t="shared" si="20"/>
        <v>0</v>
      </c>
      <c r="AL26" s="33">
        <f t="shared" si="21"/>
        <v>0</v>
      </c>
      <c r="AM26" s="33">
        <f t="shared" si="26"/>
        <v>0</v>
      </c>
      <c r="AN26" s="33">
        <f t="shared" si="23"/>
        <v>0</v>
      </c>
      <c r="AO26" s="33">
        <f t="shared" si="8"/>
        <v>0</v>
      </c>
      <c r="AP26" s="33"/>
      <c r="AQ26" s="33">
        <f>IF(M26=1,'Труматик гермики'!S27*'Исходные данные'!$AQ$4,IF(M26=3,'Труматик гермики'!S27*'Исходные данные'!$AQ$4,0))</f>
        <v>0</v>
      </c>
      <c r="AS26">
        <f>IF(M26=2,IF('Труматик гермики'!Q27=1,0.6*'Исходные данные'!H26,IF('Труматик гермики'!Q27=2,1.5*'Исходные данные'!H26,IF('Труматик гермики'!Q27=3,1.16*'Исходные данные'!H26,IF('Труматик гермики'!Q27=4,1.34*'Исходные данные'!H26,IF('Труматик гермики'!Q27=6,1.66*'Исходные данные'!H26,IF('Труматик гермики'!Q27=7,1.82*'Исходные данные'!H26,IF('Труматик гермики'!Q27=8,1.98*'Исходные данные'!H26,IF('Труматик гермики'!Q27=9,2.14*'Исходные данные'!H26,IF('Труматик гермики'!Q27=10,2.3*'Исходные данные'!H26,IF('Труматик гермики'!Q27=11,2.46*'Исходные данные'!H26,IF('Труматик гермики'!Q27=12,2.62*'Исходные данные'!H26,IF('Труматик гермики'!Q27=13,2.78*'Исходные данные'!H26,IF('Труматик гермики'!Q27=15,3.1*'Исходные данные'!H26,0))))))))))))),IF(M26=4,IF('Труматик гермики'!Q27=1,0.6*'Исходные данные'!H26,IF('Труматик гермики'!Q27=5,1.5*'Исходные данные'!H26,IF('Труматик гермики'!Q27=3,1.16*'Исходные данные'!H26,IF('Труматик гермики'!Q27=4,1.34*'Исходные данные'!H26,IF('Труматик гермики'!Q27=6,1.66*'Исходные данные'!H26,IF('Труматик гермики'!Q27=7,1.82*'Исходные данные'!H26,IF('Труматик гермики'!Q27=8,1.98*'Исходные данные'!H26,IF('Труматик гермики'!Q27=9,2.14*'Исходные данные'!H26,IF('Труматик гермики'!Q27=10,2.3*'Исходные данные'!H26,IF('Труматик гермики'!Q27=11,2.46*'Исходные данные'!H26,IF('Труматик гермики'!Q27=12,2.62*'Исходные данные'!H26,IF('Труматик гермики'!Q27=13,2.78*'Исходные данные'!H26,IF('Труматик гермики'!Q27=15,3.1*'Исходные данные'!H26,0))))))))))))),0))</f>
        <v>0</v>
      </c>
      <c r="AU26">
        <f>IF(M26=1,IF('Труматик гермики'!P27&lt;=2,H26*1.91,IF('Труматик гермики'!P27&lt;=4,H26*2.06,IF('Труматик гермики'!P27&lt;=5,H26*2.16,IF('Труматик гермики'!P27&lt;=6,H26*2.35,IF('Труматик гермики'!P27&lt;=7,H26*2.47,IF('Труматик гермики'!P27&lt;=8,H26*2.51,IF('Труматик гермики'!P27&lt;=10,H26*2.71,IF('Труматик гермики'!P27&lt;=16,H26*4.49,IF('Труматик гермики'!P27&lt;=20,H26*4.8,IF('Труматик гермики'!P27&lt;=24,H26*5.11,IF('Труматик гермики'!P27&lt;=32,H26*6.18,0))))))))))),IF(M26=3,IF('Труматик гермики'!P27&lt;=2,H26*1.3,IF('Труматик гермики'!P27&lt;=4,H26*1.45,IF('Труматик гермики'!P27&lt;=5,H26*1.55,IF('Труматик гермики'!P27&lt;=6,H26*1.74,IF('Труматик гермики'!P27&lt;=7,H26*1.86,IF('Труматик гермики'!P27&lt;=8,H26*1.9,IF('Труматик гермики'!P27&lt;=10,H26*2.1,IF('Труматик гермики'!P27&lt;=16,H26*3.27,IF('Труматик гермики'!P27&lt;=20,H26*3.28,IF('Труматик гермики'!P27&lt;=24,H26*3.89,IF('Труматик гермики'!P27&lt;=32,H26*4.96,0))))))))))),0))</f>
        <v>0</v>
      </c>
    </row>
    <row r="27" spans="1:47">
      <c r="B27" s="5"/>
      <c r="Q27" s="10"/>
      <c r="R27" s="39" t="str">
        <f>IF(M27=1,IF(AND(315=F27, G27=590),212,IF(AND(315=F27, G27=890),212,IF(AND(315=F27, G27=1190),212,IF(AND(315=F27, G27=1490),212,IF(AND(595=F27, G27=1727),232,IF(AND(320=F27, G27=567),232,IF(AND(595=F27, G27=1790),232,IF(AND(320=F27, G27=870),232,IF(AND(320=F27, G27=570),232,IF(AND(320=F27, G27=1170),232,252)))))))))),IF(M27=3,IF(AND(315=F27, G27=590),212,IF(AND(315=F27, G27=890),212,IF(AND(315=F27, G27=1190),212,IF(AND(315=F27, G27=1490),212,IF(AND(595=F27, G27=1727),232,IF(AND(320=F27, G27=567),232,IF(AND(595=F27, G27=1790),232,IF(AND(320=F27, G27=570),232,252)))))))),"---"))</f>
        <v>---</v>
      </c>
      <c r="S27" s="60" t="str">
        <f t="shared" si="12"/>
        <v>---</v>
      </c>
      <c r="T27" s="39" t="str">
        <f t="shared" si="13"/>
        <v>---</v>
      </c>
      <c r="U27" s="106"/>
      <c r="V27" s="219">
        <f t="shared" si="4"/>
        <v>0</v>
      </c>
      <c r="AA27" s="305">
        <f>IF(M27=$O$2,$AA$4*H27*'Труматик гермики'!Q28,IF(M27=$O$4,$AA$4*H27*'Труматик гермики'!Q28,0))</f>
        <v>0</v>
      </c>
      <c r="AE27" s="348">
        <f t="shared" si="6"/>
        <v>0</v>
      </c>
    </row>
    <row r="28" spans="1:47">
      <c r="AA28" s="305">
        <f>IF(M28=$O$2,$AA$4*H28*'Труматик гермики'!Q29,IF(M28=$O$4,$AA$4*H28*'Труматик гермики'!Q29,0))</f>
        <v>0</v>
      </c>
    </row>
    <row r="29" spans="1:47" ht="18.75">
      <c r="C29" t="s">
        <v>34</v>
      </c>
      <c r="F29" s="101"/>
      <c r="G29" s="101"/>
    </row>
    <row r="30" spans="1:47">
      <c r="J30" t="s">
        <v>279</v>
      </c>
      <c r="Y30">
        <f>SUM(Y6:Y26)</f>
        <v>0</v>
      </c>
      <c r="AA30">
        <f>SUM(AA6,AA7,AA8,AA9,AA10,AA11,AA12,AA13:AA14,AA14,AA14:AA26)</f>
        <v>0</v>
      </c>
      <c r="AD30">
        <f>SUM(AD6:AD26)</f>
        <v>0</v>
      </c>
      <c r="AE30">
        <f>SUM(AE6:AE26)</f>
        <v>0</v>
      </c>
      <c r="AF30">
        <f>SUM(AF6:AF26)</f>
        <v>0</v>
      </c>
      <c r="AK30">
        <f>SUM(AK6:AK26)</f>
        <v>0</v>
      </c>
      <c r="AO30">
        <f>SUM(AO6:AO26)</f>
        <v>0</v>
      </c>
      <c r="AP30" t="s">
        <v>61</v>
      </c>
      <c r="AQ30">
        <f>SUM(AQ6:AQ26)</f>
        <v>0</v>
      </c>
      <c r="AS30">
        <f>SUM(AS6:AS26)</f>
        <v>0</v>
      </c>
      <c r="AU30">
        <f>SUM(AU6:AU26)</f>
        <v>0</v>
      </c>
    </row>
    <row r="31" spans="1:47">
      <c r="F31" t="s">
        <v>71</v>
      </c>
      <c r="H31">
        <f>AQ30</f>
        <v>0</v>
      </c>
      <c r="V31">
        <f>IF('Задание Ножницы лента'!I9&lt;1000,$Y$4*2*H6,"---")</f>
        <v>0</v>
      </c>
    </row>
    <row r="32" spans="1:47">
      <c r="C32" s="1" t="s">
        <v>401</v>
      </c>
      <c r="D32" s="1" t="s">
        <v>29</v>
      </c>
      <c r="E32" s="18"/>
      <c r="F32" t="s">
        <v>74</v>
      </c>
      <c r="H32">
        <f>AT32</f>
        <v>0</v>
      </c>
      <c r="AT32">
        <f>AS30+AU30</f>
        <v>0</v>
      </c>
    </row>
    <row r="33" spans="3:8">
      <c r="C33" s="1" t="s">
        <v>402</v>
      </c>
      <c r="D33" s="1" t="s">
        <v>30</v>
      </c>
      <c r="E33" s="18"/>
      <c r="F33" t="s">
        <v>59</v>
      </c>
      <c r="H33" s="173">
        <f>'Задание на гибку'!F34</f>
        <v>0</v>
      </c>
    </row>
    <row r="34" spans="3:8">
      <c r="C34" s="1" t="s">
        <v>401</v>
      </c>
      <c r="D34" s="1" t="s">
        <v>28</v>
      </c>
      <c r="E34" s="18"/>
      <c r="F34" t="s">
        <v>212</v>
      </c>
      <c r="H34">
        <f>'Ножницы стенка'!F30+'Ножницы кожух'!G28+'Задание Ножницы лента'!L30+'Ножницы упор'!H29</f>
        <v>0</v>
      </c>
    </row>
  </sheetData>
  <mergeCells count="3">
    <mergeCell ref="F1:G1"/>
    <mergeCell ref="B4:C4"/>
    <mergeCell ref="U5:V5"/>
  </mergeCells>
  <pageMargins left="0.70866141732283472" right="0.70866141732283472" top="0.74803149606299213" bottom="0.74803149606299213" header="0.31496062992125984" footer="0.31496062992125984"/>
  <pageSetup paperSize="9" scale="28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O49"/>
  <sheetViews>
    <sheetView topLeftCell="F12" zoomScale="64" zoomScaleNormal="64" workbookViewId="0">
      <selection activeCell="F4" sqref="F4:AJ48"/>
    </sheetView>
  </sheetViews>
  <sheetFormatPr defaultRowHeight="15"/>
  <cols>
    <col min="1" max="1" width="5.140625" hidden="1" customWidth="1"/>
    <col min="2" max="2" width="12.28515625" hidden="1" customWidth="1"/>
    <col min="3" max="3" width="7.5703125" hidden="1" customWidth="1"/>
    <col min="4" max="4" width="0" hidden="1" customWidth="1"/>
    <col min="5" max="5" width="0.140625" hidden="1" customWidth="1"/>
    <col min="6" max="6" width="14.85546875" customWidth="1"/>
    <col min="7" max="7" width="12.5703125" customWidth="1"/>
    <col min="8" max="8" width="3.85546875" customWidth="1"/>
    <col min="9" max="9" width="8.7109375" customWidth="1"/>
    <col min="10" max="10" width="12" customWidth="1"/>
    <col min="11" max="11" width="13.42578125" customWidth="1"/>
    <col min="12" max="12" width="7.42578125" hidden="1" customWidth="1"/>
    <col min="13" max="13" width="9.140625" customWidth="1"/>
    <col min="14" max="14" width="11.85546875" customWidth="1"/>
    <col min="15" max="16" width="9.28515625" hidden="1" customWidth="1"/>
    <col min="17" max="17" width="6.85546875" customWidth="1"/>
    <col min="18" max="18" width="16.140625" customWidth="1"/>
    <col min="19" max="19" width="9.42578125" hidden="1" customWidth="1"/>
    <col min="20" max="20" width="9.42578125" customWidth="1"/>
    <col min="21" max="21" width="12.28515625" customWidth="1"/>
    <col min="22" max="22" width="7.85546875" customWidth="1"/>
    <col min="23" max="23" width="12" customWidth="1"/>
    <col min="24" max="24" width="10" customWidth="1"/>
    <col min="25" max="25" width="12.5703125" hidden="1" customWidth="1"/>
    <col min="26" max="26" width="6.7109375" customWidth="1"/>
    <col min="27" max="27" width="12.42578125" customWidth="1"/>
    <col min="28" max="28" width="10.42578125" customWidth="1"/>
    <col min="29" max="29" width="7.85546875" customWidth="1"/>
    <col min="30" max="30" width="9.85546875" customWidth="1"/>
    <col min="31" max="31" width="6.28515625" customWidth="1"/>
    <col min="32" max="32" width="5.7109375" customWidth="1"/>
    <col min="33" max="33" width="7.5703125" customWidth="1"/>
    <col min="34" max="35" width="6.42578125" customWidth="1"/>
    <col min="40" max="41" width="0" hidden="1" customWidth="1"/>
  </cols>
  <sheetData>
    <row r="1" spans="2:41" ht="18.75" hidden="1">
      <c r="F1" s="116" t="s">
        <v>225</v>
      </c>
      <c r="AJ1" s="95"/>
    </row>
    <row r="2" spans="2:41" ht="28.5" hidden="1">
      <c r="F2" s="626" t="s">
        <v>226</v>
      </c>
      <c r="G2" s="626"/>
      <c r="H2" s="626"/>
      <c r="I2" s="179"/>
      <c r="AJ2" s="95"/>
    </row>
    <row r="3" spans="2:41" ht="26.25" hidden="1">
      <c r="F3" s="76"/>
      <c r="G3" s="76"/>
      <c r="H3" s="76"/>
      <c r="I3" s="88"/>
      <c r="AJ3" s="95"/>
    </row>
    <row r="4" spans="2:41" ht="35.25" customHeight="1">
      <c r="F4" s="88" t="str">
        <f>B15</f>
        <v>Комплектовочный лист №</v>
      </c>
      <c r="G4" s="88"/>
      <c r="H4" s="88"/>
      <c r="I4" s="88"/>
      <c r="N4" s="640">
        <f>'Исходные данные'!F4</f>
        <v>0</v>
      </c>
      <c r="O4" s="640"/>
      <c r="P4" s="640"/>
      <c r="Q4" s="640"/>
      <c r="R4" s="640"/>
      <c r="AI4" s="637">
        <f>'Исходные данные'!F4</f>
        <v>0</v>
      </c>
      <c r="AJ4" s="637"/>
    </row>
    <row r="5" spans="2:41" ht="3" customHeight="1">
      <c r="F5" s="88"/>
      <c r="G5" s="88"/>
      <c r="H5" s="88"/>
      <c r="I5" s="88"/>
      <c r="N5" s="640"/>
      <c r="O5" s="640"/>
      <c r="P5" s="640"/>
      <c r="Q5" s="640"/>
      <c r="R5" s="640"/>
      <c r="AI5" s="637"/>
      <c r="AJ5" s="637"/>
    </row>
    <row r="6" spans="2:41" ht="27" customHeight="1" thickBot="1">
      <c r="F6" s="88"/>
      <c r="G6" s="88"/>
      <c r="H6" s="88"/>
      <c r="I6" s="88"/>
      <c r="AI6" s="637"/>
      <c r="AJ6" s="637"/>
    </row>
    <row r="7" spans="2:41" ht="17.25" customHeight="1" thickBot="1">
      <c r="J7" s="633"/>
      <c r="K7" s="634"/>
      <c r="L7" s="634"/>
      <c r="M7" s="634"/>
      <c r="N7" s="634"/>
      <c r="O7" s="634"/>
      <c r="P7" s="634"/>
      <c r="Q7" s="634"/>
      <c r="R7" s="634"/>
      <c r="S7" s="634"/>
      <c r="T7" s="634"/>
      <c r="U7" s="634"/>
      <c r="V7" s="634"/>
      <c r="W7" s="634"/>
      <c r="X7" s="634"/>
      <c r="Y7" s="634"/>
      <c r="Z7" s="635"/>
      <c r="AA7" s="257"/>
      <c r="AB7" s="247" t="s">
        <v>273</v>
      </c>
      <c r="AC7" s="248"/>
      <c r="AD7" s="633" t="s">
        <v>274</v>
      </c>
      <c r="AE7" s="634"/>
      <c r="AF7" s="634"/>
      <c r="AG7" s="635"/>
      <c r="AH7" s="18"/>
      <c r="AI7" s="637"/>
      <c r="AJ7" s="637"/>
      <c r="AK7" s="481"/>
      <c r="AL7" s="161"/>
    </row>
    <row r="8" spans="2:41" ht="42" customHeight="1" thickBot="1">
      <c r="E8" s="78" t="s">
        <v>227</v>
      </c>
      <c r="F8" s="513" t="s">
        <v>4</v>
      </c>
      <c r="G8" s="513" t="s">
        <v>0</v>
      </c>
      <c r="H8" s="628" t="s">
        <v>228</v>
      </c>
      <c r="I8" s="638" t="s">
        <v>313</v>
      </c>
      <c r="J8" s="639" t="s">
        <v>245</v>
      </c>
      <c r="K8" s="639"/>
      <c r="L8" s="242"/>
      <c r="M8" s="629" t="s">
        <v>229</v>
      </c>
      <c r="N8" s="639" t="s">
        <v>270</v>
      </c>
      <c r="O8" s="639"/>
      <c r="P8" s="639"/>
      <c r="Q8" s="630" t="s">
        <v>321</v>
      </c>
      <c r="R8" s="253" t="s">
        <v>230</v>
      </c>
      <c r="S8" s="254"/>
      <c r="T8" s="544" t="s">
        <v>38</v>
      </c>
      <c r="U8" s="627" t="s">
        <v>232</v>
      </c>
      <c r="V8" s="627"/>
      <c r="W8" s="643" t="s">
        <v>38</v>
      </c>
      <c r="X8" s="636" t="s">
        <v>322</v>
      </c>
      <c r="Y8" s="636"/>
      <c r="Z8" s="636"/>
      <c r="AA8" s="648" t="s">
        <v>38</v>
      </c>
      <c r="AB8" s="647" t="s">
        <v>271</v>
      </c>
      <c r="AC8" s="647"/>
      <c r="AD8" s="573" t="s">
        <v>275</v>
      </c>
      <c r="AE8" s="573"/>
      <c r="AF8" s="573"/>
      <c r="AG8" s="573"/>
      <c r="AH8" s="162"/>
      <c r="AI8" s="637"/>
      <c r="AJ8" s="637"/>
      <c r="AK8" s="481"/>
      <c r="AL8" s="547"/>
    </row>
    <row r="9" spans="2:41" ht="30" customHeight="1" thickBot="1">
      <c r="E9" s="78"/>
      <c r="F9" s="513"/>
      <c r="G9" s="513"/>
      <c r="H9" s="628"/>
      <c r="I9" s="638"/>
      <c r="J9" s="242" t="s">
        <v>316</v>
      </c>
      <c r="K9" s="242" t="s">
        <v>317</v>
      </c>
      <c r="L9" s="242"/>
      <c r="M9" s="629"/>
      <c r="N9" s="639"/>
      <c r="O9" s="639"/>
      <c r="P9" s="639"/>
      <c r="Q9" s="631"/>
      <c r="R9" s="641" t="s">
        <v>278</v>
      </c>
      <c r="S9" s="249"/>
      <c r="T9" s="545"/>
      <c r="U9" s="627">
        <f>IF('Исходные данные'!M6=2,"ОЦ 1,5",IF('Исходные данные'!M6=4,"ОЦ 1,5",))</f>
        <v>0</v>
      </c>
      <c r="V9" s="627"/>
      <c r="W9" s="644"/>
      <c r="X9" s="636"/>
      <c r="Y9" s="636"/>
      <c r="Z9" s="636"/>
      <c r="AA9" s="649"/>
      <c r="AB9" s="647"/>
      <c r="AC9" s="647"/>
      <c r="AD9" s="573"/>
      <c r="AE9" s="573"/>
      <c r="AF9" s="573"/>
      <c r="AG9" s="573"/>
      <c r="AH9" s="162"/>
      <c r="AI9" s="637"/>
      <c r="AJ9" s="637"/>
      <c r="AK9" s="481"/>
      <c r="AL9" s="547"/>
    </row>
    <row r="10" spans="2:41" ht="36" customHeight="1" thickBot="1">
      <c r="E10" s="78"/>
      <c r="F10" s="513"/>
      <c r="G10" s="513"/>
      <c r="H10" s="628"/>
      <c r="I10" s="638"/>
      <c r="J10" s="242" t="s">
        <v>31</v>
      </c>
      <c r="K10" s="242" t="s">
        <v>32</v>
      </c>
      <c r="L10" s="242"/>
      <c r="M10" s="629"/>
      <c r="N10" s="250" t="s">
        <v>7</v>
      </c>
      <c r="O10" s="250"/>
      <c r="P10" s="250"/>
      <c r="Q10" s="632"/>
      <c r="R10" s="642"/>
      <c r="S10" s="254"/>
      <c r="T10" s="545"/>
      <c r="U10" s="251" t="s">
        <v>7</v>
      </c>
      <c r="V10" s="245" t="s">
        <v>5</v>
      </c>
      <c r="W10" s="645"/>
      <c r="X10" s="252" t="s">
        <v>7</v>
      </c>
      <c r="Y10" s="255" t="s">
        <v>38</v>
      </c>
      <c r="Z10" s="255" t="s">
        <v>5</v>
      </c>
      <c r="AA10" s="650"/>
      <c r="AB10" s="163" t="s">
        <v>7</v>
      </c>
      <c r="AC10" s="163" t="s">
        <v>5</v>
      </c>
      <c r="AD10" s="163" t="s">
        <v>7</v>
      </c>
      <c r="AE10" s="163" t="s">
        <v>294</v>
      </c>
      <c r="AF10" s="163" t="s">
        <v>2</v>
      </c>
      <c r="AG10" s="246" t="s">
        <v>5</v>
      </c>
      <c r="AH10" s="128"/>
      <c r="AI10" s="128"/>
      <c r="AJ10" s="646" t="s">
        <v>307</v>
      </c>
      <c r="AK10" s="481"/>
      <c r="AL10" s="547"/>
    </row>
    <row r="11" spans="2:41" s="221" customFormat="1" ht="45" customHeight="1" thickBot="1">
      <c r="E11" s="78">
        <v>1</v>
      </c>
      <c r="F11" s="320">
        <f>'Исходные данные'!B6</f>
        <v>0</v>
      </c>
      <c r="G11" s="321">
        <f>'Исходные данные'!C6</f>
        <v>0</v>
      </c>
      <c r="H11" s="321">
        <f>'Исходные данные'!D6</f>
        <v>0</v>
      </c>
      <c r="I11" s="322" t="str">
        <f>'Труматик гермики'!E7</f>
        <v>--</v>
      </c>
      <c r="J11" s="323" t="str">
        <f>'Труматик гермики'!D7</f>
        <v>---</v>
      </c>
      <c r="K11" s="324">
        <f>'Исходные данные'!G6</f>
        <v>0</v>
      </c>
      <c r="L11" s="324">
        <f>'Исходные данные'!K6</f>
        <v>0</v>
      </c>
      <c r="M11" s="324">
        <f>'Исходные данные'!H6</f>
        <v>0</v>
      </c>
      <c r="N11" s="324">
        <f>IF('Исходные данные'!M6=2,'Исходные данные'!G6-5.5,IF('Исходные данные'!M6=4,'Исходные данные'!G6-5.5,))</f>
        <v>0</v>
      </c>
      <c r="O11" s="324">
        <f>'Исходные данные'!K6</f>
        <v>0</v>
      </c>
      <c r="P11" s="324"/>
      <c r="Q11" s="341">
        <f>IF(N11&gt;0,'Задание на Trumpf'!V7,0)</f>
        <v>0</v>
      </c>
      <c r="R11" s="325" t="str">
        <f>IF('Исходные данные'!M6=1,"Комплект кожухов","---")</f>
        <v>---</v>
      </c>
      <c r="S11" s="326">
        <f>'Исходные данные'!K6</f>
        <v>0</v>
      </c>
      <c r="T11" s="336" t="str">
        <f>'Труматик гермики'!J7</f>
        <v>---</v>
      </c>
      <c r="U11" s="326">
        <f>IF('Исходные данные'!M6=2,'Исходные данные'!G6-5.5,IF('Исходные данные'!M6=4,'Исходные данные'!G6-5.5,IF('Исходные данные'!M6=1,'Исходные данные'!G6-2.5,IF('Исходные данные'!M6=3,'Исходные данные'!G6-2.5,))))</f>
        <v>0</v>
      </c>
      <c r="V11" s="326">
        <f>'Ножницы упор'!H7</f>
        <v>0</v>
      </c>
      <c r="W11" s="326" t="str">
        <f>'Ножницы упор'!I7</f>
        <v>---</v>
      </c>
      <c r="X11" s="327">
        <f>'Задание Ножницы лента'!I9</f>
        <v>0</v>
      </c>
      <c r="Y11" s="327" t="str">
        <f>'Задание Ножницы лента'!M9</f>
        <v>---</v>
      </c>
      <c r="Z11" s="327" t="str">
        <f>'Задание Ножницы лента'!J9</f>
        <v>---</v>
      </c>
      <c r="AA11" s="340" t="str">
        <f>'Задание Ножницы лента'!M9</f>
        <v>---</v>
      </c>
      <c r="AB11" s="328">
        <f>'Задание на резку'!K8</f>
        <v>0</v>
      </c>
      <c r="AC11" s="328">
        <f>'Задание на резку'!L8</f>
        <v>0</v>
      </c>
      <c r="AD11" s="328" t="str">
        <f>'Задание Ножницы лента'!O9</f>
        <v>---</v>
      </c>
      <c r="AE11" s="328" t="s">
        <v>294</v>
      </c>
      <c r="AF11" s="328">
        <f>'Задание Ножницы лента'!Q9</f>
        <v>0</v>
      </c>
      <c r="AG11" s="329">
        <f>'Задание Ножницы лента'!R9</f>
        <v>0</v>
      </c>
      <c r="AH11" s="222"/>
      <c r="AI11" s="223"/>
      <c r="AJ11" s="646"/>
      <c r="AK11" s="624"/>
      <c r="AL11" s="547"/>
      <c r="AM11" s="183"/>
    </row>
    <row r="12" spans="2:41" s="221" customFormat="1" ht="45" customHeight="1" thickBot="1">
      <c r="E12" s="78">
        <f>E11+1</f>
        <v>2</v>
      </c>
      <c r="F12" s="330">
        <f>'Исходные данные'!B7</f>
        <v>0</v>
      </c>
      <c r="G12" s="331">
        <f>'Исходные данные'!C7</f>
        <v>0</v>
      </c>
      <c r="H12" s="331">
        <f>'Исходные данные'!D7</f>
        <v>0</v>
      </c>
      <c r="I12" s="332" t="str">
        <f>'Труматик гермики'!E8</f>
        <v>--</v>
      </c>
      <c r="J12" s="333" t="str">
        <f>'Труматик гермики'!D8</f>
        <v>---</v>
      </c>
      <c r="K12" s="334">
        <f>'Исходные данные'!G7</f>
        <v>0</v>
      </c>
      <c r="L12" s="334">
        <f>'Исходные данные'!K7</f>
        <v>0</v>
      </c>
      <c r="M12" s="334">
        <f>'Исходные данные'!H7</f>
        <v>0</v>
      </c>
      <c r="N12" s="334">
        <f>IF('Исходные данные'!M7=2,'Исходные данные'!G7-5.5,IF('Исходные данные'!M7=4,'Исходные данные'!G7-5.5,))</f>
        <v>0</v>
      </c>
      <c r="O12" s="334">
        <f>'Исходные данные'!K7</f>
        <v>0</v>
      </c>
      <c r="P12" s="334"/>
      <c r="Q12" s="341">
        <f>IF(N12&gt;0,'Задание на Trumpf'!V8,0)</f>
        <v>0</v>
      </c>
      <c r="R12" s="335" t="str">
        <f>IF('Исходные данные'!M7=1,"Комплект кожухов","---")</f>
        <v>---</v>
      </c>
      <c r="S12" s="336">
        <f>'Исходные данные'!K7</f>
        <v>0</v>
      </c>
      <c r="T12" s="336" t="str">
        <f>'Труматик гермики'!J8</f>
        <v>---</v>
      </c>
      <c r="U12" s="336">
        <f>IF('Исходные данные'!M7=2,'Исходные данные'!G7-5.5,IF('Исходные данные'!M7=4,'Исходные данные'!G7-5.5,IF('Исходные данные'!M7=1,'Исходные данные'!G7-2.5,IF('Исходные данные'!M7=3,'Исходные данные'!G7-2.5,))))</f>
        <v>0</v>
      </c>
      <c r="V12" s="336">
        <f>'Ножницы упор'!H8</f>
        <v>0</v>
      </c>
      <c r="W12" s="336" t="str">
        <f>'Ножницы упор'!I8</f>
        <v>---</v>
      </c>
      <c r="X12" s="337">
        <f>'Задание Ножницы лента'!I10</f>
        <v>0</v>
      </c>
      <c r="Y12" s="337" t="str">
        <f>'Задание Ножницы лента'!M10</f>
        <v>---</v>
      </c>
      <c r="Z12" s="337" t="str">
        <f>'Задание Ножницы лента'!J10</f>
        <v>---</v>
      </c>
      <c r="AA12" s="340" t="str">
        <f>'Задание Ножницы лента'!M10</f>
        <v>---</v>
      </c>
      <c r="AB12" s="338">
        <f>'Задание на резку'!K9</f>
        <v>0</v>
      </c>
      <c r="AC12" s="338">
        <f>'Задание на резку'!L9</f>
        <v>0</v>
      </c>
      <c r="AD12" s="338" t="str">
        <f>'Задание Ножницы лента'!O10</f>
        <v>---</v>
      </c>
      <c r="AE12" s="338" t="s">
        <v>294</v>
      </c>
      <c r="AF12" s="338">
        <f>'Задание Ножницы лента'!Q10</f>
        <v>0</v>
      </c>
      <c r="AG12" s="339">
        <f>'Задание Ножницы лента'!R10</f>
        <v>0</v>
      </c>
      <c r="AH12" s="222"/>
      <c r="AI12" s="231"/>
      <c r="AJ12" s="646"/>
      <c r="AK12" s="622"/>
      <c r="AL12" s="625"/>
      <c r="AM12" s="183"/>
    </row>
    <row r="13" spans="2:41" s="221" customFormat="1" ht="45" customHeight="1" thickBot="1">
      <c r="B13" s="621">
        <f>'Исходные данные'!F4</f>
        <v>0</v>
      </c>
      <c r="C13" s="622" t="s">
        <v>282</v>
      </c>
      <c r="D13" s="623" t="s">
        <v>283</v>
      </c>
      <c r="E13" s="78">
        <f t="shared" ref="E13:E28" si="0">E12+1</f>
        <v>3</v>
      </c>
      <c r="F13" s="330">
        <f>'Исходные данные'!B8</f>
        <v>0</v>
      </c>
      <c r="G13" s="331">
        <f>'Исходные данные'!C8</f>
        <v>0</v>
      </c>
      <c r="H13" s="331">
        <f>'Исходные данные'!D8</f>
        <v>0</v>
      </c>
      <c r="I13" s="332" t="str">
        <f>'Труматик гермики'!E9</f>
        <v>--</v>
      </c>
      <c r="J13" s="333" t="str">
        <f>'Труматик гермики'!D9</f>
        <v>---</v>
      </c>
      <c r="K13" s="334">
        <f>'Исходные данные'!G8</f>
        <v>0</v>
      </c>
      <c r="L13" s="334">
        <f>'Исходные данные'!K8</f>
        <v>0</v>
      </c>
      <c r="M13" s="334">
        <f>'Исходные данные'!H8</f>
        <v>0</v>
      </c>
      <c r="N13" s="334">
        <f>IF('Исходные данные'!M8=2,'Исходные данные'!G8-5.5,IF('Исходные данные'!M8=4,'Исходные данные'!G8-5.5,))</f>
        <v>0</v>
      </c>
      <c r="O13" s="334">
        <f>'Исходные данные'!K8</f>
        <v>0</v>
      </c>
      <c r="P13" s="334"/>
      <c r="Q13" s="341">
        <f>IF(N13&gt;0,'Задание на Trumpf'!V9,0)</f>
        <v>0</v>
      </c>
      <c r="R13" s="335" t="str">
        <f>IF('Исходные данные'!M8=1,"Комплект кожухов","---")</f>
        <v>---</v>
      </c>
      <c r="S13" s="336">
        <f>'Исходные данные'!K8</f>
        <v>0</v>
      </c>
      <c r="T13" s="336" t="str">
        <f>'Труматик гермики'!J9</f>
        <v>---</v>
      </c>
      <c r="U13" s="336">
        <f>IF('Исходные данные'!M8=2,'Исходные данные'!G8-5.5,IF('Исходные данные'!M8=4,'Исходные данные'!G8-5.5,IF('Исходные данные'!M8=1,'Исходные данные'!G8-2.5,IF('Исходные данные'!M8=3,'Исходные данные'!G8-2.5,))))</f>
        <v>0</v>
      </c>
      <c r="V13" s="336">
        <f>'Ножницы упор'!H9</f>
        <v>0</v>
      </c>
      <c r="W13" s="336" t="str">
        <f>'Ножницы упор'!I9</f>
        <v>---</v>
      </c>
      <c r="X13" s="337">
        <f>'Задание Ножницы лента'!I11</f>
        <v>0</v>
      </c>
      <c r="Y13" s="337" t="str">
        <f>'Задание Ножницы лента'!M11</f>
        <v>---</v>
      </c>
      <c r="Z13" s="337" t="str">
        <f>'Задание Ножницы лента'!J11</f>
        <v>---</v>
      </c>
      <c r="AA13" s="340" t="str">
        <f>'Задание Ножницы лента'!M11</f>
        <v>---</v>
      </c>
      <c r="AB13" s="338">
        <f>'Задание на резку'!K10</f>
        <v>0</v>
      </c>
      <c r="AC13" s="338">
        <f>'Задание на резку'!L10</f>
        <v>0</v>
      </c>
      <c r="AD13" s="338" t="str">
        <f>'Задание Ножницы лента'!O11</f>
        <v>---</v>
      </c>
      <c r="AE13" s="338" t="s">
        <v>294</v>
      </c>
      <c r="AF13" s="338">
        <f>'Задание Ножницы лента'!Q11</f>
        <v>0</v>
      </c>
      <c r="AG13" s="339">
        <f>'Задание Ножницы лента'!R11</f>
        <v>0</v>
      </c>
      <c r="AH13" s="222"/>
      <c r="AI13" s="231"/>
      <c r="AJ13" s="646"/>
      <c r="AK13" s="624"/>
      <c r="AL13" s="625"/>
      <c r="AM13" s="183"/>
    </row>
    <row r="14" spans="2:41" s="221" customFormat="1" ht="45" customHeight="1" thickBot="1">
      <c r="B14" s="621"/>
      <c r="C14" s="622"/>
      <c r="D14" s="623"/>
      <c r="E14" s="78">
        <f t="shared" si="0"/>
        <v>4</v>
      </c>
      <c r="F14" s="330">
        <f>'Исходные данные'!B9</f>
        <v>0</v>
      </c>
      <c r="G14" s="331">
        <f>'Исходные данные'!C9</f>
        <v>0</v>
      </c>
      <c r="H14" s="331">
        <f>'Исходные данные'!D9</f>
        <v>0</v>
      </c>
      <c r="I14" s="332" t="str">
        <f>'Труматик гермики'!E10</f>
        <v>--</v>
      </c>
      <c r="J14" s="333" t="str">
        <f>'Труматик гермики'!D10</f>
        <v>---</v>
      </c>
      <c r="K14" s="334">
        <f>'Исходные данные'!G9</f>
        <v>0</v>
      </c>
      <c r="L14" s="334">
        <f>'Исходные данные'!K9</f>
        <v>0</v>
      </c>
      <c r="M14" s="334">
        <f>'Исходные данные'!H9</f>
        <v>0</v>
      </c>
      <c r="N14" s="334">
        <f>IF('Исходные данные'!M9=2,'Исходные данные'!G9-5.5,IF('Исходные данные'!M9=4,'Исходные данные'!G9-5.5,))</f>
        <v>0</v>
      </c>
      <c r="O14" s="334">
        <f>'Исходные данные'!K9</f>
        <v>0</v>
      </c>
      <c r="P14" s="334"/>
      <c r="Q14" s="341">
        <f>IF(N14&gt;0,'Задание на Trumpf'!V10,0)</f>
        <v>0</v>
      </c>
      <c r="R14" s="335" t="str">
        <f>IF('Исходные данные'!M9=1,"Комплект кожухов","---")</f>
        <v>---</v>
      </c>
      <c r="S14" s="336">
        <f>'Исходные данные'!K9</f>
        <v>0</v>
      </c>
      <c r="T14" s="336" t="str">
        <f>'Труматик гермики'!J10</f>
        <v>---</v>
      </c>
      <c r="U14" s="336">
        <f>IF('Исходные данные'!M9=2,'Исходные данные'!G9-5.5,IF('Исходные данные'!M9=4,'Исходные данные'!G9-5.5,IF('Исходные данные'!M9=1,'Исходные данные'!G9-2.5,IF('Исходные данные'!M9=3,'Исходные данные'!G9-2.5,))))</f>
        <v>0</v>
      </c>
      <c r="V14" s="336">
        <f>'Ножницы упор'!H10</f>
        <v>0</v>
      </c>
      <c r="W14" s="336" t="str">
        <f>'Ножницы упор'!I10</f>
        <v>---</v>
      </c>
      <c r="X14" s="337">
        <f>'Задание Ножницы лента'!I12</f>
        <v>0</v>
      </c>
      <c r="Y14" s="337" t="str">
        <f>'Задание Ножницы лента'!M12</f>
        <v>---</v>
      </c>
      <c r="Z14" s="337" t="str">
        <f>'Задание Ножницы лента'!J12</f>
        <v>---</v>
      </c>
      <c r="AA14" s="340" t="str">
        <f>'Задание Ножницы лента'!M12</f>
        <v>---</v>
      </c>
      <c r="AB14" s="338">
        <f>'Задание на резку'!K11</f>
        <v>0</v>
      </c>
      <c r="AC14" s="338">
        <f>'Задание на резку'!L11</f>
        <v>0</v>
      </c>
      <c r="AD14" s="338" t="str">
        <f>'Задание Ножницы лента'!O12</f>
        <v>---</v>
      </c>
      <c r="AE14" s="338" t="s">
        <v>294</v>
      </c>
      <c r="AF14" s="338">
        <f>'Задание Ножницы лента'!Q12</f>
        <v>0</v>
      </c>
      <c r="AG14" s="339">
        <f>'Задание Ножницы лента'!R12</f>
        <v>0</v>
      </c>
      <c r="AH14" s="222"/>
      <c r="AI14" s="231"/>
      <c r="AJ14" s="646"/>
      <c r="AK14" s="622"/>
      <c r="AL14" s="625"/>
      <c r="AM14" s="183"/>
      <c r="AN14" s="221">
        <f>'Задание Ножницы лента'!I12-'Задание Ножницы лента'!L12*2</f>
        <v>0</v>
      </c>
      <c r="AO14" s="221" t="e">
        <f>AN14/'Задание Ножницы лента'!K12</f>
        <v>#VALUE!</v>
      </c>
    </row>
    <row r="15" spans="2:41" s="221" customFormat="1" ht="45" customHeight="1" thickBot="1">
      <c r="B15" s="621" t="s">
        <v>293</v>
      </c>
      <c r="C15" s="622"/>
      <c r="D15" s="623"/>
      <c r="E15" s="78">
        <f t="shared" si="0"/>
        <v>5</v>
      </c>
      <c r="F15" s="330">
        <f>'Исходные данные'!B10</f>
        <v>0</v>
      </c>
      <c r="G15" s="331">
        <f>'Исходные данные'!C10</f>
        <v>0</v>
      </c>
      <c r="H15" s="331">
        <f>'Исходные данные'!D10</f>
        <v>0</v>
      </c>
      <c r="I15" s="332" t="str">
        <f>'Труматик гермики'!E11</f>
        <v>--</v>
      </c>
      <c r="J15" s="333" t="str">
        <f>'Труматик гермики'!D11</f>
        <v>---</v>
      </c>
      <c r="K15" s="334">
        <f>'Исходные данные'!G10</f>
        <v>0</v>
      </c>
      <c r="L15" s="334">
        <f>'Исходные данные'!K10</f>
        <v>0</v>
      </c>
      <c r="M15" s="334">
        <f>'Исходные данные'!H10</f>
        <v>0</v>
      </c>
      <c r="N15" s="334">
        <f>IF('Исходные данные'!M10=2,'Исходные данные'!G10-5.5,IF('Исходные данные'!M10=4,'Исходные данные'!G10-5.5,))</f>
        <v>0</v>
      </c>
      <c r="O15" s="334">
        <f>'Исходные данные'!K10</f>
        <v>0</v>
      </c>
      <c r="P15" s="334"/>
      <c r="Q15" s="341">
        <f>IF(N15&gt;0,'Задание на Trumpf'!V11,0)</f>
        <v>0</v>
      </c>
      <c r="R15" s="335" t="str">
        <f>IF('Исходные данные'!M10=1,"Комплект кожухов","---")</f>
        <v>---</v>
      </c>
      <c r="S15" s="336">
        <f>'Исходные данные'!K10</f>
        <v>0</v>
      </c>
      <c r="T15" s="336" t="str">
        <f>'Труматик гермики'!J11</f>
        <v>---</v>
      </c>
      <c r="U15" s="336">
        <f>IF('Исходные данные'!M10=2,'Исходные данные'!G10-5.5,IF('Исходные данные'!M10=4,'Исходные данные'!G10-5.5,IF('Исходные данные'!M10=1,'Исходные данные'!G10-2.5,IF('Исходные данные'!M10=3,'Исходные данные'!G10-2.5,))))</f>
        <v>0</v>
      </c>
      <c r="V15" s="336">
        <f>'Ножницы упор'!H11</f>
        <v>0</v>
      </c>
      <c r="W15" s="336" t="str">
        <f>'Ножницы упор'!I11</f>
        <v>---</v>
      </c>
      <c r="X15" s="337">
        <f>'Задание Ножницы лента'!I13</f>
        <v>0</v>
      </c>
      <c r="Y15" s="337" t="str">
        <f>'Задание Ножницы лента'!M13</f>
        <v>---</v>
      </c>
      <c r="Z15" s="337" t="str">
        <f>'Задание Ножницы лента'!J13</f>
        <v>---</v>
      </c>
      <c r="AA15" s="340" t="str">
        <f>'Задание Ножницы лента'!M13</f>
        <v>---</v>
      </c>
      <c r="AB15" s="338">
        <f>'Задание на резку'!K12</f>
        <v>0</v>
      </c>
      <c r="AC15" s="338">
        <f>'Задание на резку'!L12</f>
        <v>0</v>
      </c>
      <c r="AD15" s="338" t="str">
        <f>'Задание Ножницы лента'!O13</f>
        <v>---</v>
      </c>
      <c r="AE15" s="338" t="s">
        <v>294</v>
      </c>
      <c r="AF15" s="338">
        <f>'Задание Ножницы лента'!Q13</f>
        <v>0</v>
      </c>
      <c r="AG15" s="339">
        <f>'Задание Ножницы лента'!R13</f>
        <v>0</v>
      </c>
      <c r="AH15" s="222"/>
      <c r="AI15" s="231"/>
      <c r="AJ15" s="646"/>
      <c r="AK15" s="624"/>
      <c r="AL15" s="625"/>
      <c r="AM15" s="183"/>
      <c r="AN15" s="221">
        <f>'Задание Ножницы лента'!I13-'Задание Ножницы лента'!L13*2</f>
        <v>0</v>
      </c>
      <c r="AO15" s="221" t="e">
        <f>AN15/'Задание Ножницы лента'!K13</f>
        <v>#VALUE!</v>
      </c>
    </row>
    <row r="16" spans="2:41" s="221" customFormat="1" ht="45" customHeight="1" thickBot="1">
      <c r="B16" s="621"/>
      <c r="C16" s="622"/>
      <c r="D16" s="623"/>
      <c r="E16" s="78">
        <f t="shared" si="0"/>
        <v>6</v>
      </c>
      <c r="F16" s="330">
        <f>'Исходные данные'!B11</f>
        <v>0</v>
      </c>
      <c r="G16" s="331">
        <f>'Исходные данные'!C11</f>
        <v>0</v>
      </c>
      <c r="H16" s="331">
        <f>'Исходные данные'!D11</f>
        <v>0</v>
      </c>
      <c r="I16" s="332" t="str">
        <f>'Труматик гермики'!E12</f>
        <v>--</v>
      </c>
      <c r="J16" s="333" t="str">
        <f>'Труматик гермики'!D12</f>
        <v>---</v>
      </c>
      <c r="K16" s="334">
        <f>'Исходные данные'!G11</f>
        <v>0</v>
      </c>
      <c r="L16" s="334">
        <f>'Исходные данные'!K11</f>
        <v>0</v>
      </c>
      <c r="M16" s="334">
        <f>'Исходные данные'!H11</f>
        <v>0</v>
      </c>
      <c r="N16" s="334">
        <f>IF('Исходные данные'!M11=2,'Исходные данные'!G11-5.5,IF('Исходные данные'!M11=4,'Исходные данные'!G11-5.5,))</f>
        <v>0</v>
      </c>
      <c r="O16" s="334">
        <f>'Исходные данные'!K11</f>
        <v>0</v>
      </c>
      <c r="P16" s="334"/>
      <c r="Q16" s="341">
        <f>IF(N16&gt;0,'Задание на Trumpf'!V12,0)</f>
        <v>0</v>
      </c>
      <c r="R16" s="335" t="str">
        <f>IF('Исходные данные'!M11=1,"Комплект кожухов","---")</f>
        <v>---</v>
      </c>
      <c r="S16" s="336">
        <f>'Исходные данные'!K11</f>
        <v>0</v>
      </c>
      <c r="T16" s="336" t="str">
        <f>'Труматик гермики'!J12</f>
        <v>---</v>
      </c>
      <c r="U16" s="336">
        <f>IF('Исходные данные'!M11=2,'Исходные данные'!G11-5.5,IF('Исходные данные'!M11=4,'Исходные данные'!G11-5.5,IF('Исходные данные'!M11=1,'Исходные данные'!G11-2.5,IF('Исходные данные'!M11=3,'Исходные данные'!G11-2.5,))))</f>
        <v>0</v>
      </c>
      <c r="V16" s="336">
        <f>'Ножницы упор'!H12</f>
        <v>0</v>
      </c>
      <c r="W16" s="336" t="str">
        <f>'Ножницы упор'!I12</f>
        <v>---</v>
      </c>
      <c r="X16" s="337">
        <f>'Задание Ножницы лента'!I14</f>
        <v>0</v>
      </c>
      <c r="Y16" s="337" t="str">
        <f>'Задание Ножницы лента'!M14</f>
        <v>---</v>
      </c>
      <c r="Z16" s="337" t="str">
        <f>'Задание Ножницы лента'!J14</f>
        <v>---</v>
      </c>
      <c r="AA16" s="340" t="str">
        <f>'Задание Ножницы лента'!M14</f>
        <v>---</v>
      </c>
      <c r="AB16" s="338">
        <f>'Задание на резку'!K13</f>
        <v>0</v>
      </c>
      <c r="AC16" s="338">
        <f>'Задание на резку'!L13</f>
        <v>0</v>
      </c>
      <c r="AD16" s="338" t="str">
        <f>'Задание Ножницы лента'!O14</f>
        <v>---</v>
      </c>
      <c r="AE16" s="338" t="s">
        <v>294</v>
      </c>
      <c r="AF16" s="338">
        <f>'Задание Ножницы лента'!Q14</f>
        <v>0</v>
      </c>
      <c r="AG16" s="339">
        <f>'Задание Ножницы лента'!R14</f>
        <v>0</v>
      </c>
      <c r="AH16" s="222"/>
      <c r="AI16" s="231"/>
      <c r="AJ16" s="646"/>
      <c r="AK16" s="622"/>
      <c r="AL16" s="625"/>
      <c r="AN16" s="221">
        <f>'Задание Ножницы лента'!I14-'Задание Ножницы лента'!L14*2</f>
        <v>0</v>
      </c>
      <c r="AO16" s="221" t="e">
        <f>AN16/'Задание Ножницы лента'!K14</f>
        <v>#VALUE!</v>
      </c>
    </row>
    <row r="17" spans="1:41" s="221" customFormat="1" ht="45" customHeight="1" thickBot="1">
      <c r="A17" s="620" t="s">
        <v>281</v>
      </c>
      <c r="B17" s="621"/>
      <c r="C17" s="622"/>
      <c r="D17" s="623"/>
      <c r="E17" s="78">
        <f t="shared" si="0"/>
        <v>7</v>
      </c>
      <c r="F17" s="330">
        <f>'Исходные данные'!B12</f>
        <v>0</v>
      </c>
      <c r="G17" s="331">
        <f>'Исходные данные'!C12</f>
        <v>0</v>
      </c>
      <c r="H17" s="331">
        <f>'Исходные данные'!D12</f>
        <v>0</v>
      </c>
      <c r="I17" s="332" t="str">
        <f>'Труматик гермики'!E13</f>
        <v>--</v>
      </c>
      <c r="J17" s="333" t="str">
        <f>'Труматик гермики'!D13</f>
        <v>---</v>
      </c>
      <c r="K17" s="334">
        <f>'Исходные данные'!G12</f>
        <v>0</v>
      </c>
      <c r="L17" s="334">
        <f>'Исходные данные'!K12</f>
        <v>0</v>
      </c>
      <c r="M17" s="334">
        <f>'Исходные данные'!H12</f>
        <v>0</v>
      </c>
      <c r="N17" s="334">
        <f>IF('Исходные данные'!M12=2,'Исходные данные'!G12-5.5,IF('Исходные данные'!M12=4,'Исходные данные'!G12-5.5,))</f>
        <v>0</v>
      </c>
      <c r="O17" s="334">
        <f>'Исходные данные'!K12</f>
        <v>0</v>
      </c>
      <c r="P17" s="334"/>
      <c r="Q17" s="341">
        <f>IF(N17&gt;0,'Задание на Trumpf'!V13,0)</f>
        <v>0</v>
      </c>
      <c r="R17" s="335" t="str">
        <f>IF('Исходные данные'!M12=1,"Комплект кожухов","---")</f>
        <v>---</v>
      </c>
      <c r="S17" s="336">
        <f>'Исходные данные'!K12</f>
        <v>0</v>
      </c>
      <c r="T17" s="336" t="str">
        <f>'Труматик гермики'!J13</f>
        <v>---</v>
      </c>
      <c r="U17" s="336">
        <f>IF('Исходные данные'!M12=2,'Исходные данные'!G12-5.5,IF('Исходные данные'!M12=4,'Исходные данные'!G12-5.5,IF('Исходные данные'!M12=1,'Исходные данные'!G12-2.5,IF('Исходные данные'!M12=3,'Исходные данные'!G12-2.5,))))</f>
        <v>0</v>
      </c>
      <c r="V17" s="336">
        <f>'Ножницы упор'!H13</f>
        <v>0</v>
      </c>
      <c r="W17" s="336" t="str">
        <f>'Ножницы упор'!I13</f>
        <v>---</v>
      </c>
      <c r="X17" s="337">
        <f>'Задание Ножницы лента'!I15</f>
        <v>0</v>
      </c>
      <c r="Y17" s="337" t="str">
        <f>'Задание Ножницы лента'!M15</f>
        <v>---</v>
      </c>
      <c r="Z17" s="337" t="str">
        <f>'Задание Ножницы лента'!J15</f>
        <v>---</v>
      </c>
      <c r="AA17" s="340" t="str">
        <f>'Задание Ножницы лента'!M15</f>
        <v>---</v>
      </c>
      <c r="AB17" s="338">
        <f>'Задание на резку'!K14</f>
        <v>0</v>
      </c>
      <c r="AC17" s="338">
        <f>'Задание на резку'!L14</f>
        <v>0</v>
      </c>
      <c r="AD17" s="338" t="str">
        <f>'Задание Ножницы лента'!O15</f>
        <v>---</v>
      </c>
      <c r="AE17" s="338" t="s">
        <v>294</v>
      </c>
      <c r="AF17" s="338">
        <f>'Задание Ножницы лента'!Q15</f>
        <v>0</v>
      </c>
      <c r="AG17" s="339">
        <f>'Задание Ножницы лента'!R15</f>
        <v>0</v>
      </c>
      <c r="AH17" s="222"/>
      <c r="AI17" s="231"/>
      <c r="AJ17" s="646"/>
      <c r="AK17" s="622"/>
      <c r="AL17" s="232"/>
      <c r="AM17" s="233"/>
      <c r="AN17" s="221">
        <f>'Задание Ножницы лента'!I15-'Задание Ножницы лента'!L15*2</f>
        <v>0</v>
      </c>
      <c r="AO17" s="221" t="e">
        <f>AN17/'Задание Ножницы лента'!K15</f>
        <v>#VALUE!</v>
      </c>
    </row>
    <row r="18" spans="1:41" s="221" customFormat="1" ht="45" customHeight="1" thickBot="1">
      <c r="A18" s="620"/>
      <c r="B18" s="621"/>
      <c r="C18" s="622"/>
      <c r="D18" s="623"/>
      <c r="E18" s="78">
        <f t="shared" si="0"/>
        <v>8</v>
      </c>
      <c r="F18" s="330">
        <f>'Исходные данные'!B13</f>
        <v>0</v>
      </c>
      <c r="G18" s="331">
        <f>'Исходные данные'!C13</f>
        <v>0</v>
      </c>
      <c r="H18" s="331">
        <f>'Исходные данные'!D13</f>
        <v>0</v>
      </c>
      <c r="I18" s="332" t="str">
        <f>'Труматик гермики'!E14</f>
        <v>--</v>
      </c>
      <c r="J18" s="333" t="str">
        <f>'Труматик гермики'!D14</f>
        <v>---</v>
      </c>
      <c r="K18" s="334">
        <f>'Исходные данные'!G13</f>
        <v>0</v>
      </c>
      <c r="L18" s="334">
        <f>'Исходные данные'!K13</f>
        <v>0</v>
      </c>
      <c r="M18" s="334">
        <f>'Исходные данные'!H13</f>
        <v>0</v>
      </c>
      <c r="N18" s="334">
        <f>IF('Исходные данные'!M13=2,'Исходные данные'!G13-5.5,IF('Исходные данные'!M13=4,'Исходные данные'!G13-5.5,))</f>
        <v>0</v>
      </c>
      <c r="O18" s="334">
        <f>'Исходные данные'!K13</f>
        <v>0</v>
      </c>
      <c r="P18" s="334"/>
      <c r="Q18" s="341">
        <f>IF(N18&gt;0,'Задание на Trumpf'!V14,0)</f>
        <v>0</v>
      </c>
      <c r="R18" s="335" t="str">
        <f>IF('Исходные данные'!M13=1,"Комплект кожухов","---")</f>
        <v>---</v>
      </c>
      <c r="S18" s="336">
        <f>'Исходные данные'!K13</f>
        <v>0</v>
      </c>
      <c r="T18" s="336" t="str">
        <f>'Труматик гермики'!J14</f>
        <v>---</v>
      </c>
      <c r="U18" s="336">
        <f>IF('Исходные данные'!M13=2,'Исходные данные'!G13-5.5,IF('Исходные данные'!M13=4,'Исходные данные'!G13-5.5,IF('Исходные данные'!M13=1,'Исходные данные'!G13-2.5,IF('Исходные данные'!M13=3,'Исходные данные'!G13-2.5,))))</f>
        <v>0</v>
      </c>
      <c r="V18" s="336">
        <f>'Ножницы упор'!H14</f>
        <v>0</v>
      </c>
      <c r="W18" s="336" t="str">
        <f>'Ножницы упор'!I14</f>
        <v>---</v>
      </c>
      <c r="X18" s="337">
        <f>'Задание Ножницы лента'!I16</f>
        <v>0</v>
      </c>
      <c r="Y18" s="337" t="str">
        <f>'Задание Ножницы лента'!M16</f>
        <v>---</v>
      </c>
      <c r="Z18" s="337" t="str">
        <f>'Задание Ножницы лента'!J16</f>
        <v>---</v>
      </c>
      <c r="AA18" s="340" t="str">
        <f>'Задание Ножницы лента'!M16</f>
        <v>---</v>
      </c>
      <c r="AB18" s="338">
        <f>'Задание на резку'!K15</f>
        <v>0</v>
      </c>
      <c r="AC18" s="338">
        <f>'Задание на резку'!L15</f>
        <v>0</v>
      </c>
      <c r="AD18" s="338" t="str">
        <f>'Задание Ножницы лента'!O16</f>
        <v>---</v>
      </c>
      <c r="AE18" s="338" t="s">
        <v>294</v>
      </c>
      <c r="AF18" s="338">
        <f>'Задание Ножницы лента'!Q16</f>
        <v>0</v>
      </c>
      <c r="AG18" s="339">
        <f>'Задание Ножницы лента'!R16</f>
        <v>0</v>
      </c>
      <c r="AH18" s="222"/>
      <c r="AI18" s="231"/>
      <c r="AJ18" s="646"/>
      <c r="AK18" s="622"/>
      <c r="AL18" s="622"/>
      <c r="AM18" s="233"/>
      <c r="AN18" s="221">
        <f>'Задание Ножницы лента'!I16-'Задание Ножницы лента'!L16*2</f>
        <v>0</v>
      </c>
      <c r="AO18" s="221" t="e">
        <f>AN18/'Задание Ножницы лента'!K16</f>
        <v>#VALUE!</v>
      </c>
    </row>
    <row r="19" spans="1:41" s="221" customFormat="1" ht="45" customHeight="1" thickBot="1">
      <c r="A19" s="620"/>
      <c r="B19" s="621"/>
      <c r="C19" s="622"/>
      <c r="D19" s="623"/>
      <c r="E19" s="78">
        <f t="shared" si="0"/>
        <v>9</v>
      </c>
      <c r="F19" s="330">
        <f>'Исходные данные'!B14</f>
        <v>0</v>
      </c>
      <c r="G19" s="331">
        <f>'Исходные данные'!C14</f>
        <v>0</v>
      </c>
      <c r="H19" s="331">
        <f>'Исходные данные'!D14</f>
        <v>0</v>
      </c>
      <c r="I19" s="332" t="str">
        <f>'Труматик гермики'!E15</f>
        <v>--</v>
      </c>
      <c r="J19" s="333" t="str">
        <f>'Труматик гермики'!D15</f>
        <v>---</v>
      </c>
      <c r="K19" s="334">
        <f>'Исходные данные'!G14</f>
        <v>0</v>
      </c>
      <c r="L19" s="334">
        <f>'Исходные данные'!K14</f>
        <v>0</v>
      </c>
      <c r="M19" s="334">
        <f>'Исходные данные'!H14</f>
        <v>0</v>
      </c>
      <c r="N19" s="334">
        <f>IF('Исходные данные'!M14=2,'Исходные данные'!G14-5.5,IF('Исходные данные'!M14=4,'Исходные данные'!G14-5.5,))</f>
        <v>0</v>
      </c>
      <c r="O19" s="334">
        <f>'Исходные данные'!K14</f>
        <v>0</v>
      </c>
      <c r="P19" s="334"/>
      <c r="Q19" s="341">
        <f>IF(N19&gt;0,'Задание на Trumpf'!V15,0)</f>
        <v>0</v>
      </c>
      <c r="R19" s="335" t="str">
        <f>IF('Исходные данные'!M14=1,"Комплект кожухов","---")</f>
        <v>---</v>
      </c>
      <c r="S19" s="336">
        <f>'Исходные данные'!K14</f>
        <v>0</v>
      </c>
      <c r="T19" s="336" t="str">
        <f>'Труматик гермики'!J15</f>
        <v>---</v>
      </c>
      <c r="U19" s="336">
        <f>IF('Исходные данные'!M14=2,'Исходные данные'!G14-5.5,IF('Исходные данные'!M14=4,'Исходные данные'!G14-5.5,IF('Исходные данные'!M14=1,'Исходные данные'!G14-2.5,IF('Исходные данные'!M14=3,'Исходные данные'!G14-2.5,))))</f>
        <v>0</v>
      </c>
      <c r="V19" s="336">
        <f>'Ножницы упор'!H15</f>
        <v>0</v>
      </c>
      <c r="W19" s="336" t="str">
        <f>'Ножницы упор'!I15</f>
        <v>---</v>
      </c>
      <c r="X19" s="337">
        <f>'Задание Ножницы лента'!I17</f>
        <v>0</v>
      </c>
      <c r="Y19" s="337" t="str">
        <f>'Задание Ножницы лента'!M17</f>
        <v>---</v>
      </c>
      <c r="Z19" s="337" t="str">
        <f>'Задание Ножницы лента'!J17</f>
        <v>---</v>
      </c>
      <c r="AA19" s="340" t="str">
        <f>'Задание Ножницы лента'!M17</f>
        <v>---</v>
      </c>
      <c r="AB19" s="338">
        <f>'Задание на резку'!K16</f>
        <v>0</v>
      </c>
      <c r="AC19" s="338">
        <f>'Задание на резку'!L16</f>
        <v>0</v>
      </c>
      <c r="AD19" s="338" t="str">
        <f>'Задание Ножницы лента'!O17</f>
        <v>---</v>
      </c>
      <c r="AE19" s="338" t="s">
        <v>294</v>
      </c>
      <c r="AF19" s="338">
        <f>'Задание Ножницы лента'!Q17</f>
        <v>0</v>
      </c>
      <c r="AG19" s="339">
        <f>'Задание Ножницы лента'!R17</f>
        <v>0</v>
      </c>
      <c r="AH19" s="222"/>
      <c r="AI19" s="231"/>
      <c r="AJ19" s="646"/>
      <c r="AK19" s="622"/>
      <c r="AL19" s="622"/>
      <c r="AM19" s="233"/>
      <c r="AN19" s="221">
        <f>'Задание Ножницы лента'!I17-'Задание Ножницы лента'!L17*2</f>
        <v>0</v>
      </c>
      <c r="AO19" s="221" t="e">
        <f>AN19/'Задание Ножницы лента'!K17</f>
        <v>#VALUE!</v>
      </c>
    </row>
    <row r="20" spans="1:41" s="221" customFormat="1" ht="21.75" customHeight="1" thickBot="1">
      <c r="A20" s="620"/>
      <c r="B20" s="621"/>
      <c r="C20" s="622"/>
      <c r="D20" s="623"/>
      <c r="E20" s="78">
        <f>E19+1</f>
        <v>10</v>
      </c>
      <c r="F20" s="310">
        <f>'Исходные данные'!B15</f>
        <v>0</v>
      </c>
      <c r="G20" s="311">
        <f>'Исходные данные'!C15</f>
        <v>0</v>
      </c>
      <c r="H20" s="311">
        <f>'Исходные данные'!D15</f>
        <v>0</v>
      </c>
      <c r="I20" s="312" t="str">
        <f>'Труматик гермики'!E16</f>
        <v>--</v>
      </c>
      <c r="J20" s="313" t="str">
        <f>'Труматик гермики'!D16</f>
        <v>---</v>
      </c>
      <c r="K20" s="314">
        <f>'Исходные данные'!G15</f>
        <v>0</v>
      </c>
      <c r="L20" s="314">
        <f>'Исходные данные'!K15</f>
        <v>0</v>
      </c>
      <c r="M20" s="314">
        <f>'Исходные данные'!H15</f>
        <v>0</v>
      </c>
      <c r="N20" s="314">
        <f>IF('Исходные данные'!M15=2,'Исходные данные'!G15-5.5,IF('Исходные данные'!M15=4,'Исходные данные'!G15-5.5,))</f>
        <v>0</v>
      </c>
      <c r="O20" s="314">
        <f>'Исходные данные'!K15</f>
        <v>0</v>
      </c>
      <c r="P20" s="314"/>
      <c r="Q20" s="341">
        <f>IF(N20&gt;0,'Задание на Trumpf'!V16,0)</f>
        <v>0</v>
      </c>
      <c r="R20" s="315" t="str">
        <f>IF('Исходные данные'!M15=1,"Комплект кожухов","---")</f>
        <v>---</v>
      </c>
      <c r="S20" s="316">
        <f>'Исходные данные'!K15</f>
        <v>0</v>
      </c>
      <c r="T20" s="316" t="str">
        <f>'Труматик гермики'!J16</f>
        <v>---</v>
      </c>
      <c r="U20" s="316">
        <f>IF('Исходные данные'!M15=2,'Исходные данные'!G15-5.5,IF('Исходные данные'!M15=4,'Исходные данные'!G15-5.5,IF('Исходные данные'!M15=1,'Исходные данные'!G15-2.5,IF('Исходные данные'!M15=3,'Исходные данные'!G15-2.5,))))</f>
        <v>0</v>
      </c>
      <c r="V20" s="316">
        <f>'Ножницы упор'!H16</f>
        <v>0</v>
      </c>
      <c r="W20" s="316" t="str">
        <f>'Ножницы упор'!I16</f>
        <v>---</v>
      </c>
      <c r="X20" s="317">
        <f>'Задание Ножницы лента'!I18</f>
        <v>0</v>
      </c>
      <c r="Y20" s="317" t="str">
        <f>'Задание Ножницы лента'!M18</f>
        <v>---</v>
      </c>
      <c r="Z20" s="317" t="str">
        <f>'Задание Ножницы лента'!J18</f>
        <v>---</v>
      </c>
      <c r="AA20" s="317" t="str">
        <f>'Задание Ножницы лента'!M18</f>
        <v>---</v>
      </c>
      <c r="AB20" s="318">
        <f>'Задание на резку'!K17</f>
        <v>0</v>
      </c>
      <c r="AC20" s="318">
        <f>'Задание на резку'!L17</f>
        <v>0</v>
      </c>
      <c r="AD20" s="318" t="str">
        <f>'Задание Ножницы лента'!O18</f>
        <v>---</v>
      </c>
      <c r="AE20" s="318" t="s">
        <v>294</v>
      </c>
      <c r="AF20" s="318">
        <f>'Задание Ножницы лента'!Q18</f>
        <v>0</v>
      </c>
      <c r="AG20" s="319">
        <f>'Задание Ножницы лента'!R18</f>
        <v>0</v>
      </c>
      <c r="AH20" s="222"/>
      <c r="AI20" s="231"/>
      <c r="AJ20" s="646"/>
      <c r="AK20" s="622"/>
      <c r="AL20" s="622"/>
      <c r="AN20" s="221">
        <f>'Задание Ножницы лента'!I18-'Задание Ножницы лента'!L18*2</f>
        <v>0</v>
      </c>
      <c r="AO20" s="221" t="e">
        <f>AN20/'Задание Ножницы лента'!K18</f>
        <v>#VALUE!</v>
      </c>
    </row>
    <row r="21" spans="1:41" s="221" customFormat="1" ht="21.75" customHeight="1" thickBot="1">
      <c r="A21" s="620"/>
      <c r="B21" s="621"/>
      <c r="C21" s="622"/>
      <c r="D21" s="623"/>
      <c r="E21" s="78">
        <f t="shared" si="0"/>
        <v>11</v>
      </c>
      <c r="F21" s="142">
        <f>'Исходные данные'!B16</f>
        <v>0</v>
      </c>
      <c r="G21" s="224">
        <f>'Исходные данные'!C16</f>
        <v>0</v>
      </c>
      <c r="H21" s="224">
        <f>'Исходные данные'!D16</f>
        <v>0</v>
      </c>
      <c r="I21" s="78" t="str">
        <f>'Труматик гермики'!E17</f>
        <v>--</v>
      </c>
      <c r="J21" s="262" t="str">
        <f>'Труматик гермики'!D17</f>
        <v>---</v>
      </c>
      <c r="K21" s="225">
        <f>'Исходные данные'!G16</f>
        <v>0</v>
      </c>
      <c r="L21" s="225">
        <f>'Исходные данные'!K16</f>
        <v>0</v>
      </c>
      <c r="M21" s="225">
        <f>'Исходные данные'!H16</f>
        <v>0</v>
      </c>
      <c r="N21" s="225">
        <f>IF('Исходные данные'!M16=2,'Исходные данные'!G16-5.5,IF('Исходные данные'!M16=4,'Исходные данные'!G16-5.5,))</f>
        <v>0</v>
      </c>
      <c r="O21" s="225">
        <f>'Исходные данные'!K16</f>
        <v>0</v>
      </c>
      <c r="P21" s="225"/>
      <c r="Q21" s="341">
        <f>IF(N21&gt;0,'Задание на Trumpf'!V17,0)</f>
        <v>0</v>
      </c>
      <c r="R21" s="260" t="str">
        <f>IF('Исходные данные'!M16=1,"Комплект кожухов","---")</f>
        <v>---</v>
      </c>
      <c r="S21" s="226">
        <f>'Исходные данные'!K16</f>
        <v>0</v>
      </c>
      <c r="T21" s="226" t="str">
        <f>'Труматик гермики'!J17</f>
        <v>---</v>
      </c>
      <c r="U21" s="226">
        <f>IF('Исходные данные'!M16=2,'Исходные данные'!G16-5.5,IF('Исходные данные'!M16=4,'Исходные данные'!G16-5.5,IF('Исходные данные'!M16=1,'Исходные данные'!G16-2.5,IF('Исходные данные'!M16=3,'Исходные данные'!G16-2.5,))))</f>
        <v>0</v>
      </c>
      <c r="V21" s="226">
        <f>'Ножницы упор'!H17</f>
        <v>0</v>
      </c>
      <c r="W21" s="226" t="str">
        <f>'Ножницы упор'!I17</f>
        <v>---</v>
      </c>
      <c r="X21" s="227">
        <f>'Задание Ножницы лента'!I19</f>
        <v>0</v>
      </c>
      <c r="Y21" s="227" t="str">
        <f>'Задание Ножницы лента'!M19</f>
        <v>---</v>
      </c>
      <c r="Z21" s="227" t="str">
        <f>'Задание Ножницы лента'!J19</f>
        <v>---</v>
      </c>
      <c r="AA21" s="227" t="str">
        <f>'Задание Ножницы лента'!M19</f>
        <v>---</v>
      </c>
      <c r="AB21" s="228">
        <f>'Задание на резку'!K18</f>
        <v>0</v>
      </c>
      <c r="AC21" s="228">
        <f>'Задание на резку'!L18</f>
        <v>0</v>
      </c>
      <c r="AD21" s="228" t="str">
        <f>'Задание Ножницы лента'!O19</f>
        <v>---</v>
      </c>
      <c r="AE21" s="229" t="s">
        <v>294</v>
      </c>
      <c r="AF21" s="228">
        <f>'Задание Ножницы лента'!Q19</f>
        <v>0</v>
      </c>
      <c r="AG21" s="230">
        <f>'Задание Ножницы лента'!R19</f>
        <v>0</v>
      </c>
      <c r="AH21" s="222"/>
      <c r="AI21" s="231"/>
      <c r="AJ21" s="646"/>
      <c r="AK21" s="622"/>
      <c r="AL21" s="622"/>
      <c r="AM21" s="233"/>
      <c r="AN21" s="221">
        <f>'Задание Ножницы лента'!I19-'Задание Ножницы лента'!L19*2</f>
        <v>0</v>
      </c>
      <c r="AO21" s="221" t="e">
        <f>AN21/'Задание Ножницы лента'!K19</f>
        <v>#VALUE!</v>
      </c>
    </row>
    <row r="22" spans="1:41" s="221" customFormat="1" ht="21.75" customHeight="1" thickBot="1">
      <c r="A22" s="620"/>
      <c r="B22" s="621"/>
      <c r="C22" s="622"/>
      <c r="D22" s="623"/>
      <c r="E22" s="78">
        <f t="shared" si="0"/>
        <v>12</v>
      </c>
      <c r="F22" s="142">
        <f>'Исходные данные'!B17</f>
        <v>0</v>
      </c>
      <c r="G22" s="224">
        <f>'Исходные данные'!C17</f>
        <v>0</v>
      </c>
      <c r="H22" s="224">
        <f>'Исходные данные'!D17</f>
        <v>0</v>
      </c>
      <c r="I22" s="78" t="str">
        <f>'Труматик гермики'!E18</f>
        <v>--</v>
      </c>
      <c r="J22" s="262" t="str">
        <f>'Труматик гермики'!D18</f>
        <v>---</v>
      </c>
      <c r="K22" s="225">
        <f>'Исходные данные'!G17</f>
        <v>0</v>
      </c>
      <c r="L22" s="225">
        <f>'Исходные данные'!K17</f>
        <v>0</v>
      </c>
      <c r="M22" s="225">
        <f>'Исходные данные'!H17</f>
        <v>0</v>
      </c>
      <c r="N22" s="225">
        <f>IF('Исходные данные'!M17=2,'Исходные данные'!G17-5.5,IF('Исходные данные'!M17=4,'Исходные данные'!G17-5.5,))</f>
        <v>0</v>
      </c>
      <c r="O22" s="225">
        <f>'Исходные данные'!K17</f>
        <v>0</v>
      </c>
      <c r="P22" s="225"/>
      <c r="Q22" s="341">
        <f>IF(N22&gt;0,'Задание на Trumpf'!V18,0)</f>
        <v>0</v>
      </c>
      <c r="R22" s="260" t="str">
        <f>IF('Исходные данные'!M17=1,"Комплект кожухов","---")</f>
        <v>---</v>
      </c>
      <c r="S22" s="226">
        <f>'Исходные данные'!K17</f>
        <v>0</v>
      </c>
      <c r="T22" s="226" t="str">
        <f>'Труматик гермики'!J18</f>
        <v>---</v>
      </c>
      <c r="U22" s="226">
        <f>IF('Исходные данные'!M17=2,'Исходные данные'!G17-5.5,IF('Исходные данные'!M17=4,'Исходные данные'!G17-5.5,IF('Исходные данные'!M17=1,'Исходные данные'!G17-2.5,IF('Исходные данные'!M17=3,'Исходные данные'!G17-2.5,))))</f>
        <v>0</v>
      </c>
      <c r="V22" s="226">
        <f>'Ножницы упор'!H18</f>
        <v>0</v>
      </c>
      <c r="W22" s="226" t="str">
        <f>'Ножницы упор'!I18</f>
        <v>---</v>
      </c>
      <c r="X22" s="227">
        <f>'Задание Ножницы лента'!I20</f>
        <v>0</v>
      </c>
      <c r="Y22" s="227" t="str">
        <f>'Задание Ножницы лента'!M20</f>
        <v>---</v>
      </c>
      <c r="Z22" s="227" t="str">
        <f>'Задание Ножницы лента'!J20</f>
        <v>---</v>
      </c>
      <c r="AA22" s="227" t="str">
        <f>'Задание Ножницы лента'!M20</f>
        <v>---</v>
      </c>
      <c r="AB22" s="228">
        <f>'Задание на резку'!K19</f>
        <v>0</v>
      </c>
      <c r="AC22" s="228">
        <f>'Задание на резку'!L19</f>
        <v>0</v>
      </c>
      <c r="AD22" s="228" t="str">
        <f>'Задание Ножницы лента'!O20</f>
        <v>---</v>
      </c>
      <c r="AE22" s="229" t="s">
        <v>294</v>
      </c>
      <c r="AF22" s="228">
        <f>'Задание Ножницы лента'!Q20</f>
        <v>0</v>
      </c>
      <c r="AG22" s="230">
        <f>'Задание Ножницы лента'!R20</f>
        <v>0</v>
      </c>
      <c r="AH22" s="222"/>
      <c r="AI22" s="231"/>
      <c r="AJ22" s="646"/>
      <c r="AK22" s="622"/>
      <c r="AL22" s="622"/>
      <c r="AM22" s="233"/>
      <c r="AN22" s="221">
        <f>'Задание Ножницы лента'!I20-'Задание Ножницы лента'!L20*2</f>
        <v>0</v>
      </c>
      <c r="AO22" s="221" t="e">
        <f>AN22/'Задание Ножницы лента'!K20</f>
        <v>#VALUE!</v>
      </c>
    </row>
    <row r="23" spans="1:41" s="221" customFormat="1" ht="21.75" customHeight="1" thickBot="1">
      <c r="A23" s="620"/>
      <c r="B23" s="621"/>
      <c r="C23" s="622"/>
      <c r="D23" s="623"/>
      <c r="E23" s="78">
        <f t="shared" si="0"/>
        <v>13</v>
      </c>
      <c r="F23" s="142">
        <f>'Исходные данные'!B18</f>
        <v>0</v>
      </c>
      <c r="G23" s="224">
        <f>'Исходные данные'!C18</f>
        <v>0</v>
      </c>
      <c r="H23" s="224">
        <f>'Исходные данные'!D18</f>
        <v>0</v>
      </c>
      <c r="I23" s="78" t="str">
        <f>'Труматик гермики'!E19</f>
        <v>--</v>
      </c>
      <c r="J23" s="262" t="str">
        <f>'Труматик гермики'!D19</f>
        <v>---</v>
      </c>
      <c r="K23" s="225">
        <f>'Исходные данные'!G18</f>
        <v>0</v>
      </c>
      <c r="L23" s="225">
        <f>'Исходные данные'!K18</f>
        <v>0</v>
      </c>
      <c r="M23" s="225">
        <f>'Исходные данные'!H18</f>
        <v>0</v>
      </c>
      <c r="N23" s="225">
        <f>IF('Исходные данные'!M18=2,'Исходные данные'!G18-5.5,IF('Исходные данные'!M18=4,'Исходные данные'!G18-5.5,))</f>
        <v>0</v>
      </c>
      <c r="O23" s="225">
        <f>'Исходные данные'!K18</f>
        <v>0</v>
      </c>
      <c r="P23" s="225"/>
      <c r="Q23" s="341">
        <f>IF(N23&gt;0,'Задание на Trumpf'!V19,0)</f>
        <v>0</v>
      </c>
      <c r="R23" s="260" t="str">
        <f>IF('Исходные данные'!M18=1,"Комплект кожухов","---")</f>
        <v>---</v>
      </c>
      <c r="S23" s="226">
        <f>'Исходные данные'!K18</f>
        <v>0</v>
      </c>
      <c r="T23" s="226" t="str">
        <f>'Труматик гермики'!J19</f>
        <v>---</v>
      </c>
      <c r="U23" s="226">
        <f>IF('Исходные данные'!M18=2,'Исходные данные'!G18-5.5,IF('Исходные данные'!M18=4,'Исходные данные'!G18-5.5,IF('Исходные данные'!M18=1,'Исходные данные'!G18-2.5,IF('Исходные данные'!M18=3,'Исходные данные'!G18-2.5,))))</f>
        <v>0</v>
      </c>
      <c r="V23" s="226">
        <f>'Ножницы упор'!H19</f>
        <v>0</v>
      </c>
      <c r="W23" s="226" t="str">
        <f>'Ножницы упор'!I19</f>
        <v>---</v>
      </c>
      <c r="X23" s="227">
        <f>'Задание Ножницы лента'!I21</f>
        <v>0</v>
      </c>
      <c r="Y23" s="227" t="str">
        <f>'Задание Ножницы лента'!M21</f>
        <v>---</v>
      </c>
      <c r="Z23" s="227" t="str">
        <f>'Задание Ножницы лента'!J21</f>
        <v>---</v>
      </c>
      <c r="AA23" s="227" t="str">
        <f>'Задание Ножницы лента'!M21</f>
        <v>---</v>
      </c>
      <c r="AB23" s="228">
        <f>'Задание на резку'!K20</f>
        <v>0</v>
      </c>
      <c r="AC23" s="228">
        <f>'Задание на резку'!L20</f>
        <v>0</v>
      </c>
      <c r="AD23" s="228" t="str">
        <f>'Задание Ножницы лента'!O21</f>
        <v>---</v>
      </c>
      <c r="AE23" s="229" t="s">
        <v>294</v>
      </c>
      <c r="AF23" s="228">
        <f>'Задание Ножницы лента'!Q21</f>
        <v>0</v>
      </c>
      <c r="AG23" s="230">
        <f>'Задание Ножницы лента'!R21</f>
        <v>0</v>
      </c>
      <c r="AH23" s="222"/>
      <c r="AI23" s="231"/>
      <c r="AJ23" s="231"/>
      <c r="AK23" s="622"/>
      <c r="AL23" s="622"/>
      <c r="AM23" s="233"/>
      <c r="AN23" s="221">
        <f>'Задание Ножницы лента'!I21-'Задание Ножницы лента'!L21*2</f>
        <v>0</v>
      </c>
      <c r="AO23" s="221" t="e">
        <f>AN23/'Задание Ножницы лента'!K21</f>
        <v>#VALUE!</v>
      </c>
    </row>
    <row r="24" spans="1:41" s="221" customFormat="1" ht="21.75" customHeight="1" thickBot="1">
      <c r="A24" s="620"/>
      <c r="B24" s="621"/>
      <c r="C24" s="622"/>
      <c r="D24" s="623"/>
      <c r="E24" s="78">
        <f t="shared" si="0"/>
        <v>14</v>
      </c>
      <c r="F24" s="142">
        <f>'Исходные данные'!B19</f>
        <v>0</v>
      </c>
      <c r="G24" s="224">
        <f>'Исходные данные'!C19</f>
        <v>0</v>
      </c>
      <c r="H24" s="224">
        <f>'Исходные данные'!D19</f>
        <v>0</v>
      </c>
      <c r="I24" s="78" t="str">
        <f>'Труматик гермики'!E20</f>
        <v>--</v>
      </c>
      <c r="J24" s="262" t="str">
        <f>'Труматик гермики'!D20</f>
        <v>---</v>
      </c>
      <c r="K24" s="225">
        <f>'Исходные данные'!G19</f>
        <v>0</v>
      </c>
      <c r="L24" s="225">
        <f>'Исходные данные'!K19</f>
        <v>0</v>
      </c>
      <c r="M24" s="225">
        <f>'Исходные данные'!H19</f>
        <v>0</v>
      </c>
      <c r="N24" s="225">
        <f>IF('Исходные данные'!M19=2,'Исходные данные'!G19-5.5,IF('Исходные данные'!M19=4,'Исходные данные'!G19-5.5,))</f>
        <v>0</v>
      </c>
      <c r="O24" s="225">
        <f>'Исходные данные'!K19</f>
        <v>0</v>
      </c>
      <c r="P24" s="225"/>
      <c r="Q24" s="341">
        <f>IF(N24&gt;0,'Задание на Trumpf'!V20,0)</f>
        <v>0</v>
      </c>
      <c r="R24" s="260" t="str">
        <f>IF('Исходные данные'!M19=1,"Комплект кожухов","---")</f>
        <v>---</v>
      </c>
      <c r="S24" s="226">
        <f>'Исходные данные'!K19</f>
        <v>0</v>
      </c>
      <c r="T24" s="226" t="str">
        <f>'Труматик гермики'!J20</f>
        <v>---</v>
      </c>
      <c r="U24" s="226">
        <f>IF('Исходные данные'!M19=2,'Исходные данные'!G19-5.5,IF('Исходные данные'!M19=4,'Исходные данные'!G19-5.5,IF('Исходные данные'!M19=1,'Исходные данные'!G19-2.5,IF('Исходные данные'!M19=3,'Исходные данные'!G19-2.5,))))</f>
        <v>0</v>
      </c>
      <c r="V24" s="226">
        <f>'Ножницы упор'!H20</f>
        <v>0</v>
      </c>
      <c r="W24" s="226" t="str">
        <f>'Ножницы упор'!I20</f>
        <v>---</v>
      </c>
      <c r="X24" s="227">
        <f>'Задание Ножницы лента'!I22</f>
        <v>0</v>
      </c>
      <c r="Y24" s="227" t="str">
        <f>'Задание Ножницы лента'!M22</f>
        <v>---</v>
      </c>
      <c r="Z24" s="227" t="str">
        <f>'Задание Ножницы лента'!J22</f>
        <v>---</v>
      </c>
      <c r="AA24" s="227" t="str">
        <f>'Задание Ножницы лента'!M22</f>
        <v>---</v>
      </c>
      <c r="AB24" s="228">
        <f>'Задание на резку'!K21</f>
        <v>0</v>
      </c>
      <c r="AC24" s="228">
        <f>'Задание на резку'!L21</f>
        <v>0</v>
      </c>
      <c r="AD24" s="228" t="str">
        <f>'Задание Ножницы лента'!O22</f>
        <v>---</v>
      </c>
      <c r="AE24" s="229" t="s">
        <v>294</v>
      </c>
      <c r="AF24" s="228">
        <f>'Задание Ножницы лента'!Q22</f>
        <v>0</v>
      </c>
      <c r="AG24" s="230">
        <f>'Задание Ножницы лента'!R22</f>
        <v>0</v>
      </c>
      <c r="AH24" s="222"/>
      <c r="AI24" s="231"/>
      <c r="AJ24" s="231"/>
      <c r="AK24" s="622"/>
      <c r="AL24" s="622"/>
      <c r="AM24" s="233"/>
      <c r="AN24" s="221">
        <f>'Задание Ножницы лента'!I22-'Задание Ножницы лента'!L22*2</f>
        <v>0</v>
      </c>
      <c r="AO24" s="221" t="e">
        <f>AN24/'Задание Ножницы лента'!K22</f>
        <v>#VALUE!</v>
      </c>
    </row>
    <row r="25" spans="1:41" s="221" customFormat="1" ht="21.75" customHeight="1" thickBot="1">
      <c r="A25" s="620"/>
      <c r="B25" s="621"/>
      <c r="C25" s="622"/>
      <c r="D25" s="623"/>
      <c r="E25" s="78">
        <f t="shared" si="0"/>
        <v>15</v>
      </c>
      <c r="F25" s="142">
        <f>'Исходные данные'!B20</f>
        <v>0</v>
      </c>
      <c r="G25" s="224">
        <f>'Исходные данные'!C20</f>
        <v>0</v>
      </c>
      <c r="H25" s="224">
        <f>'Исходные данные'!D20</f>
        <v>0</v>
      </c>
      <c r="I25" s="78" t="str">
        <f>'Труматик гермики'!E21</f>
        <v>--</v>
      </c>
      <c r="J25" s="262" t="str">
        <f>'Труматик гермики'!D21</f>
        <v>---</v>
      </c>
      <c r="K25" s="225">
        <f>'Исходные данные'!G20</f>
        <v>0</v>
      </c>
      <c r="L25" s="225">
        <f>'Исходные данные'!K20</f>
        <v>0</v>
      </c>
      <c r="M25" s="225">
        <f>'Исходные данные'!H20</f>
        <v>0</v>
      </c>
      <c r="N25" s="225">
        <f>IF('Исходные данные'!M20=2,'Исходные данные'!G20-5.5,IF('Исходные данные'!M20=4,'Исходные данные'!G20-5.5,))</f>
        <v>0</v>
      </c>
      <c r="O25" s="225">
        <f>'Исходные данные'!K20</f>
        <v>0</v>
      </c>
      <c r="P25" s="225"/>
      <c r="Q25" s="341">
        <f>IF(N25&gt;0,'Задание на Trumpf'!V21,0)</f>
        <v>0</v>
      </c>
      <c r="R25" s="260" t="str">
        <f>IF('Исходные данные'!M20=1,"Комплект кожухов","---")</f>
        <v>---</v>
      </c>
      <c r="S25" s="226">
        <f>'Исходные данные'!K20</f>
        <v>0</v>
      </c>
      <c r="T25" s="226" t="str">
        <f>'Труматик гермики'!J21</f>
        <v>---</v>
      </c>
      <c r="U25" s="226">
        <f>IF('Исходные данные'!M20=2,'Исходные данные'!G20-5.5,IF('Исходные данные'!M20=4,'Исходные данные'!G20-5.5,IF('Исходные данные'!M20=1,'Исходные данные'!G20-2.5,IF('Исходные данные'!M20=3,'Исходные данные'!G20-2.5,))))</f>
        <v>0</v>
      </c>
      <c r="V25" s="226">
        <f>'Ножницы упор'!H21</f>
        <v>0</v>
      </c>
      <c r="W25" s="226" t="str">
        <f>'Ножницы упор'!I21</f>
        <v>---</v>
      </c>
      <c r="X25" s="227">
        <f>'Задание Ножницы лента'!I23</f>
        <v>0</v>
      </c>
      <c r="Y25" s="227" t="str">
        <f>'Задание Ножницы лента'!M23</f>
        <v>---</v>
      </c>
      <c r="Z25" s="227" t="str">
        <f>'Задание Ножницы лента'!J23</f>
        <v>---</v>
      </c>
      <c r="AA25" s="227" t="str">
        <f>'Задание Ножницы лента'!M23</f>
        <v>---</v>
      </c>
      <c r="AB25" s="228">
        <f>'Задание на резку'!K22</f>
        <v>0</v>
      </c>
      <c r="AC25" s="228">
        <f>'Задание на резку'!L22</f>
        <v>0</v>
      </c>
      <c r="AD25" s="228" t="str">
        <f>'Задание Ножницы лента'!O23</f>
        <v>---</v>
      </c>
      <c r="AE25" s="229" t="s">
        <v>294</v>
      </c>
      <c r="AF25" s="228">
        <f>'Задание Ножницы лента'!Q23</f>
        <v>0</v>
      </c>
      <c r="AG25" s="230">
        <f>'Задание Ножницы лента'!R23</f>
        <v>0</v>
      </c>
      <c r="AH25" s="222"/>
      <c r="AI25" s="231"/>
      <c r="AJ25" s="183"/>
      <c r="AK25" s="622"/>
      <c r="AL25" s="622"/>
      <c r="AM25" s="233"/>
      <c r="AN25" s="221">
        <f>'Задание Ножницы лента'!I23-'Задание Ножницы лента'!L23*2</f>
        <v>0</v>
      </c>
      <c r="AO25" s="221" t="e">
        <f>AN25/'Задание Ножницы лента'!K23</f>
        <v>#VALUE!</v>
      </c>
    </row>
    <row r="26" spans="1:41" s="221" customFormat="1" ht="21.75" customHeight="1" thickBot="1">
      <c r="A26" s="620"/>
      <c r="B26" s="621"/>
      <c r="C26" s="622"/>
      <c r="D26" s="623"/>
      <c r="E26" s="78">
        <f t="shared" si="0"/>
        <v>16</v>
      </c>
      <c r="F26" s="142">
        <f>'Исходные данные'!B21</f>
        <v>0</v>
      </c>
      <c r="G26" s="224">
        <f>'Исходные данные'!C21</f>
        <v>0</v>
      </c>
      <c r="H26" s="224">
        <f>'Исходные данные'!D21</f>
        <v>0</v>
      </c>
      <c r="I26" s="78" t="str">
        <f>'Труматик гермики'!E22</f>
        <v>--</v>
      </c>
      <c r="J26" s="262" t="str">
        <f>'Труматик гермики'!D22</f>
        <v>---</v>
      </c>
      <c r="K26" s="225">
        <f>'Исходные данные'!G21</f>
        <v>0</v>
      </c>
      <c r="L26" s="225">
        <f>'Исходные данные'!K21</f>
        <v>0</v>
      </c>
      <c r="M26" s="225">
        <f>'Исходные данные'!H21</f>
        <v>0</v>
      </c>
      <c r="N26" s="225">
        <f>IF('Исходные данные'!M21=2,'Исходные данные'!G21-5.5,IF('Исходные данные'!M21=4,'Исходные данные'!G21-5.5,))</f>
        <v>0</v>
      </c>
      <c r="O26" s="225">
        <f>'Исходные данные'!K21</f>
        <v>0</v>
      </c>
      <c r="P26" s="225"/>
      <c r="Q26" s="341">
        <f>IF(N26&gt;0,'Задание на Trumpf'!V22,0)</f>
        <v>0</v>
      </c>
      <c r="R26" s="260" t="str">
        <f>IF('Исходные данные'!M21=1,"Комплект кожухов","---")</f>
        <v>---</v>
      </c>
      <c r="S26" s="226">
        <f>'Исходные данные'!K21</f>
        <v>0</v>
      </c>
      <c r="T26" s="226" t="str">
        <f>'Труматик гермики'!J22</f>
        <v>---</v>
      </c>
      <c r="U26" s="226">
        <f>IF('Исходные данные'!M21=2,'Исходные данные'!G21-5.5,IF('Исходные данные'!M21=4,'Исходные данные'!G21-5.5,IF('Исходные данные'!M21=1,'Исходные данные'!G21-2.5,IF('Исходные данные'!M21=3,'Исходные данные'!G21-2.5,))))</f>
        <v>0</v>
      </c>
      <c r="V26" s="226">
        <f>'Ножницы упор'!H22</f>
        <v>0</v>
      </c>
      <c r="W26" s="226" t="str">
        <f>'Ножницы упор'!I22</f>
        <v>---</v>
      </c>
      <c r="X26" s="227">
        <f>'Задание Ножницы лента'!I24</f>
        <v>0</v>
      </c>
      <c r="Y26" s="227" t="str">
        <f>'Задание Ножницы лента'!M24</f>
        <v>---</v>
      </c>
      <c r="Z26" s="227" t="str">
        <f>'Задание Ножницы лента'!J24</f>
        <v>---</v>
      </c>
      <c r="AA26" s="227" t="str">
        <f>'Задание Ножницы лента'!M24</f>
        <v>---</v>
      </c>
      <c r="AB26" s="228">
        <f>'Задание на резку'!K23</f>
        <v>0</v>
      </c>
      <c r="AC26" s="228">
        <f>'Задание на резку'!L23</f>
        <v>0</v>
      </c>
      <c r="AD26" s="228" t="str">
        <f>'Задание Ножницы лента'!O24</f>
        <v>---</v>
      </c>
      <c r="AE26" s="229" t="s">
        <v>294</v>
      </c>
      <c r="AF26" s="228">
        <f>'Задание Ножницы лента'!Q24</f>
        <v>0</v>
      </c>
      <c r="AG26" s="230">
        <f>'Задание Ножницы лента'!R24</f>
        <v>0</v>
      </c>
      <c r="AH26" s="222"/>
      <c r="AI26" s="183"/>
      <c r="AJ26" s="183"/>
      <c r="AK26" s="622"/>
      <c r="AL26" s="622"/>
      <c r="AM26" s="233"/>
      <c r="AN26" s="221">
        <f>'Задание Ножницы лента'!I24-'Задание Ножницы лента'!L24*2</f>
        <v>0</v>
      </c>
      <c r="AO26" s="221" t="e">
        <f>AN26/'Задание Ножницы лента'!K24</f>
        <v>#VALUE!</v>
      </c>
    </row>
    <row r="27" spans="1:41" s="221" customFormat="1" ht="21.75" customHeight="1" thickBot="1">
      <c r="A27" s="620"/>
      <c r="B27" s="621"/>
      <c r="C27" s="622"/>
      <c r="D27" s="623"/>
      <c r="E27" s="78">
        <f t="shared" si="0"/>
        <v>17</v>
      </c>
      <c r="F27" s="142">
        <f>'Исходные данные'!B22</f>
        <v>0</v>
      </c>
      <c r="G27" s="224">
        <f>'Исходные данные'!C22</f>
        <v>0</v>
      </c>
      <c r="H27" s="224">
        <f>'Исходные данные'!D22</f>
        <v>0</v>
      </c>
      <c r="I27" s="78" t="str">
        <f>'Труматик гермики'!E23</f>
        <v>--</v>
      </c>
      <c r="J27" s="262" t="str">
        <f>'Труматик гермики'!D23</f>
        <v>---</v>
      </c>
      <c r="K27" s="225">
        <f>'Исходные данные'!G22</f>
        <v>0</v>
      </c>
      <c r="L27" s="225">
        <f>'Исходные данные'!K22</f>
        <v>0</v>
      </c>
      <c r="M27" s="225">
        <f>'Исходные данные'!H22</f>
        <v>0</v>
      </c>
      <c r="N27" s="225">
        <f>IF('Исходные данные'!M22=2,'Исходные данные'!G22-5.5,IF('Исходные данные'!M22=4,'Исходные данные'!G22-5.5,))</f>
        <v>0</v>
      </c>
      <c r="O27" s="225">
        <f>'Исходные данные'!K22</f>
        <v>0</v>
      </c>
      <c r="P27" s="225"/>
      <c r="Q27" s="341">
        <f>IF(N27&gt;0,'Задание на Trumpf'!V23,0)</f>
        <v>0</v>
      </c>
      <c r="R27" s="260" t="str">
        <f>IF('Исходные данные'!M22=1,"Комплект кожухов","---")</f>
        <v>---</v>
      </c>
      <c r="S27" s="226">
        <f>'Исходные данные'!K22</f>
        <v>0</v>
      </c>
      <c r="T27" s="226" t="str">
        <f>'Труматик гермики'!J23</f>
        <v>---</v>
      </c>
      <c r="U27" s="226">
        <f>IF('Исходные данные'!M22=2,'Исходные данные'!G22-5.5,IF('Исходные данные'!M22=4,'Исходные данные'!G22-5.5,IF('Исходные данные'!M22=1,'Исходные данные'!G22-2.5,IF('Исходные данные'!M22=3,'Исходные данные'!G22-2.5,))))</f>
        <v>0</v>
      </c>
      <c r="V27" s="226">
        <f>'Ножницы упор'!H23</f>
        <v>0</v>
      </c>
      <c r="W27" s="226" t="str">
        <f>'Ножницы упор'!I23</f>
        <v>---</v>
      </c>
      <c r="X27" s="227">
        <f>'Задание Ножницы лента'!I25</f>
        <v>0</v>
      </c>
      <c r="Y27" s="227" t="str">
        <f>'Задание Ножницы лента'!M25</f>
        <v>---</v>
      </c>
      <c r="Z27" s="227" t="str">
        <f>'Задание Ножницы лента'!J25</f>
        <v>---</v>
      </c>
      <c r="AA27" s="227" t="str">
        <f>'Задание Ножницы лента'!M25</f>
        <v>---</v>
      </c>
      <c r="AB27" s="228">
        <f>'Задание на резку'!K24</f>
        <v>0</v>
      </c>
      <c r="AC27" s="228">
        <f>'Задание на резку'!L24</f>
        <v>0</v>
      </c>
      <c r="AD27" s="228" t="str">
        <f>'Задание Ножницы лента'!O25</f>
        <v>---</v>
      </c>
      <c r="AE27" s="229" t="s">
        <v>294</v>
      </c>
      <c r="AF27" s="228">
        <f>'Задание Ножницы лента'!Q25</f>
        <v>0</v>
      </c>
      <c r="AG27" s="230">
        <f>'Задание Ножницы лента'!R25</f>
        <v>0</v>
      </c>
      <c r="AH27" s="222"/>
      <c r="AI27" s="183"/>
      <c r="AJ27" s="183"/>
      <c r="AK27" s="622"/>
      <c r="AL27" s="233"/>
      <c r="AM27" s="233"/>
      <c r="AN27" s="221">
        <f>'Задание Ножницы лента'!I25-'Задание Ножницы лента'!L25*2</f>
        <v>0</v>
      </c>
      <c r="AO27" s="221" t="e">
        <f>AN27/'Задание Ножницы лента'!K25</f>
        <v>#VALUE!</v>
      </c>
    </row>
    <row r="28" spans="1:41" s="221" customFormat="1" ht="21.75" customHeight="1" thickBot="1">
      <c r="A28" s="620"/>
      <c r="B28" s="621"/>
      <c r="C28" s="622"/>
      <c r="D28" s="623"/>
      <c r="E28" s="78">
        <f t="shared" si="0"/>
        <v>18</v>
      </c>
      <c r="F28" s="142">
        <f>'Исходные данные'!B23</f>
        <v>0</v>
      </c>
      <c r="G28" s="224">
        <f>'Исходные данные'!C23</f>
        <v>0</v>
      </c>
      <c r="H28" s="224">
        <f>'Исходные данные'!D23</f>
        <v>0</v>
      </c>
      <c r="I28" s="78" t="str">
        <f>'Труматик гермики'!E24</f>
        <v>--</v>
      </c>
      <c r="J28" s="262" t="str">
        <f>'Труматик гермики'!D24</f>
        <v>---</v>
      </c>
      <c r="K28" s="225">
        <f>'Исходные данные'!G23</f>
        <v>0</v>
      </c>
      <c r="L28" s="225">
        <f>'Исходные данные'!K23</f>
        <v>0</v>
      </c>
      <c r="M28" s="225">
        <f>'Исходные данные'!H23</f>
        <v>0</v>
      </c>
      <c r="N28" s="225">
        <f>IF('Исходные данные'!M23=2,'Исходные данные'!G23-5.5,IF('Исходные данные'!M23=4,'Исходные данные'!G23-5.5,))</f>
        <v>0</v>
      </c>
      <c r="O28" s="225">
        <f>'Исходные данные'!K23</f>
        <v>0</v>
      </c>
      <c r="P28" s="225"/>
      <c r="Q28" s="341">
        <f>IF(N28&gt;0,'Задание на Trumpf'!V24,0)</f>
        <v>0</v>
      </c>
      <c r="R28" s="260" t="str">
        <f>IF('Исходные данные'!M23=1,"Комплект кожухов","---")</f>
        <v>---</v>
      </c>
      <c r="S28" s="226">
        <f>'Исходные данные'!K23</f>
        <v>0</v>
      </c>
      <c r="T28" s="226" t="str">
        <f>'Труматик гермики'!J24</f>
        <v>---</v>
      </c>
      <c r="U28" s="226">
        <f>IF('Исходные данные'!M23=2,'Исходные данные'!G23-5.5,IF('Исходные данные'!M23=4,'Исходные данные'!G23-5.5,IF('Исходные данные'!M23=1,'Исходные данные'!G23-2.5,IF('Исходные данные'!M23=3,'Исходные данные'!G23-2.5,))))</f>
        <v>0</v>
      </c>
      <c r="V28" s="226">
        <f>'Ножницы упор'!H24</f>
        <v>0</v>
      </c>
      <c r="W28" s="226" t="str">
        <f>'Ножницы упор'!I24</f>
        <v>---</v>
      </c>
      <c r="X28" s="227">
        <f>'Задание Ножницы лента'!I26</f>
        <v>0</v>
      </c>
      <c r="Y28" s="227" t="str">
        <f>'Задание Ножницы лента'!M26</f>
        <v>---</v>
      </c>
      <c r="Z28" s="227" t="str">
        <f>'Задание Ножницы лента'!J26</f>
        <v>---</v>
      </c>
      <c r="AA28" s="227" t="str">
        <f>'Задание Ножницы лента'!M26</f>
        <v>---</v>
      </c>
      <c r="AB28" s="228">
        <f>'Задание на резку'!K25</f>
        <v>0</v>
      </c>
      <c r="AC28" s="228">
        <f>'Задание на резку'!L25</f>
        <v>0</v>
      </c>
      <c r="AD28" s="228" t="str">
        <f>'Задание Ножницы лента'!O26</f>
        <v>---</v>
      </c>
      <c r="AE28" s="229" t="s">
        <v>294</v>
      </c>
      <c r="AF28" s="228">
        <f>'Задание Ножницы лента'!Q26</f>
        <v>0</v>
      </c>
      <c r="AG28" s="230">
        <f>'Задание Ножницы лента'!R26</f>
        <v>0</v>
      </c>
      <c r="AH28" s="222"/>
      <c r="AI28" s="183"/>
      <c r="AJ28" s="183"/>
      <c r="AK28" s="622"/>
      <c r="AL28" s="233"/>
      <c r="AM28" s="233"/>
      <c r="AN28" s="221">
        <f>'Задание Ножницы лента'!I26-'Задание Ножницы лента'!L26*2</f>
        <v>0</v>
      </c>
      <c r="AO28" s="221" t="e">
        <f>AN28/'Задание Ножницы лента'!K26</f>
        <v>#VALUE!</v>
      </c>
    </row>
    <row r="29" spans="1:41" s="221" customFormat="1" ht="21.75" customHeight="1" thickBot="1">
      <c r="A29" s="620"/>
      <c r="B29" s="621"/>
      <c r="C29" s="622"/>
      <c r="D29" s="623"/>
      <c r="E29" s="78">
        <f>E28+1</f>
        <v>19</v>
      </c>
      <c r="F29" s="142">
        <f>'Исходные данные'!B24</f>
        <v>0</v>
      </c>
      <c r="G29" s="224">
        <f>'Исходные данные'!C24</f>
        <v>0</v>
      </c>
      <c r="H29" s="224">
        <f>'Исходные данные'!D24</f>
        <v>0</v>
      </c>
      <c r="I29" s="78" t="str">
        <f>'Труматик гермики'!E25</f>
        <v>--</v>
      </c>
      <c r="J29" s="262" t="str">
        <f>'Труматик гермики'!D25</f>
        <v>---</v>
      </c>
      <c r="K29" s="225">
        <f>'Исходные данные'!G24</f>
        <v>0</v>
      </c>
      <c r="L29" s="225">
        <f>'Исходные данные'!K24</f>
        <v>0</v>
      </c>
      <c r="M29" s="225">
        <f>'Исходные данные'!H24</f>
        <v>0</v>
      </c>
      <c r="N29" s="225">
        <f>IF('Исходные данные'!M24=2,'Исходные данные'!G24-5.5,IF('Исходные данные'!M24=4,'Исходные данные'!G24-5.5,))</f>
        <v>0</v>
      </c>
      <c r="O29" s="225">
        <f>'Исходные данные'!K24</f>
        <v>0</v>
      </c>
      <c r="P29" s="225"/>
      <c r="Q29" s="341">
        <f>IF(N29&gt;0,'Задание на Trumpf'!V25,0)</f>
        <v>0</v>
      </c>
      <c r="R29" s="260" t="str">
        <f>IF('Исходные данные'!M24=1,"Комплект кожухов","---")</f>
        <v>---</v>
      </c>
      <c r="S29" s="226">
        <f>'Исходные данные'!K24</f>
        <v>0</v>
      </c>
      <c r="T29" s="226" t="str">
        <f>'Труматик гермики'!J25</f>
        <v>---</v>
      </c>
      <c r="U29" s="226">
        <f>IF('Исходные данные'!M24=2,'Исходные данные'!G24-5.5,IF('Исходные данные'!M24=4,'Исходные данные'!G24-5.5,IF('Исходные данные'!M24=1,'Исходные данные'!G24-2.5,IF('Исходные данные'!M24=3,'Исходные данные'!G24-2.5,))))</f>
        <v>0</v>
      </c>
      <c r="V29" s="226">
        <f>'Ножницы упор'!H25</f>
        <v>0</v>
      </c>
      <c r="W29" s="226" t="str">
        <f>'Ножницы упор'!I25</f>
        <v>---</v>
      </c>
      <c r="X29" s="227">
        <f>'Задание Ножницы лента'!I27</f>
        <v>0</v>
      </c>
      <c r="Y29" s="227" t="str">
        <f>'Задание Ножницы лента'!M27</f>
        <v>---</v>
      </c>
      <c r="Z29" s="227" t="str">
        <f>'Задание Ножницы лента'!J27</f>
        <v>---</v>
      </c>
      <c r="AA29" s="227" t="str">
        <f>'Задание Ножницы лента'!M27</f>
        <v>---</v>
      </c>
      <c r="AB29" s="228">
        <f>'Задание на резку'!K26</f>
        <v>0</v>
      </c>
      <c r="AC29" s="228">
        <f>'Задание на резку'!L26</f>
        <v>0</v>
      </c>
      <c r="AD29" s="228" t="str">
        <f>'Задание Ножницы лента'!O27</f>
        <v>---</v>
      </c>
      <c r="AE29" s="229" t="s">
        <v>294</v>
      </c>
      <c r="AF29" s="228">
        <f>'Задание Ножницы лента'!Q27</f>
        <v>0</v>
      </c>
      <c r="AG29" s="230">
        <f>'Задание Ножницы лента'!R27</f>
        <v>0</v>
      </c>
      <c r="AH29" s="222"/>
      <c r="AI29" s="183"/>
      <c r="AJ29" s="183"/>
      <c r="AK29" s="622"/>
      <c r="AL29" s="233"/>
      <c r="AM29" s="233"/>
      <c r="AN29" s="221">
        <f>'Задание Ножницы лента'!I27-'Задание Ножницы лента'!L27*2</f>
        <v>0</v>
      </c>
      <c r="AO29" s="221" t="e">
        <f>AN29/'Задание Ножницы лента'!K27</f>
        <v>#VALUE!</v>
      </c>
    </row>
    <row r="30" spans="1:41" s="221" customFormat="1" ht="21.75" customHeight="1" thickBot="1">
      <c r="E30" s="78">
        <f>E29+1</f>
        <v>20</v>
      </c>
      <c r="F30" s="234">
        <f>'Исходные данные'!B25</f>
        <v>0</v>
      </c>
      <c r="G30" s="235">
        <f>'Исходные данные'!C25</f>
        <v>0</v>
      </c>
      <c r="H30" s="235">
        <f>'Исходные данные'!D25</f>
        <v>0</v>
      </c>
      <c r="I30" s="259" t="str">
        <f>'Труматик гермики'!E26</f>
        <v>--</v>
      </c>
      <c r="J30" s="263" t="str">
        <f>'Труматик гермики'!D26</f>
        <v>---</v>
      </c>
      <c r="K30" s="236">
        <f>'Исходные данные'!G25</f>
        <v>0</v>
      </c>
      <c r="L30" s="236">
        <f>'Исходные данные'!K25</f>
        <v>0</v>
      </c>
      <c r="M30" s="236">
        <f>'Исходные данные'!H25</f>
        <v>0</v>
      </c>
      <c r="N30" s="236">
        <f>IF('Исходные данные'!M25=2,'Исходные данные'!G25-5.5,IF('Исходные данные'!M25=4,'Исходные данные'!G25-5.5,))</f>
        <v>0</v>
      </c>
      <c r="O30" s="236">
        <f>'Исходные данные'!K25</f>
        <v>0</v>
      </c>
      <c r="P30" s="236"/>
      <c r="Q30" s="341">
        <f>IF(N30&gt;0,'Задание на Trumpf'!V26,0)</f>
        <v>0</v>
      </c>
      <c r="R30" s="261" t="str">
        <f>IF('Исходные данные'!M25=1,"Комплект кожухов","---")</f>
        <v>---</v>
      </c>
      <c r="S30" s="237">
        <f>'Исходные данные'!K25</f>
        <v>0</v>
      </c>
      <c r="T30" s="237" t="str">
        <f>'Труматик гермики'!J26</f>
        <v>---</v>
      </c>
      <c r="U30" s="237">
        <f>IF('Исходные данные'!M25=2,'Исходные данные'!G25-5.5,IF('Исходные данные'!M25=4,'Исходные данные'!G25-5.5,IF('Исходные данные'!M25=1,'Исходные данные'!G25-2.5,IF('Исходные данные'!M25=3,'Исходные данные'!G25-2.5,))))</f>
        <v>0</v>
      </c>
      <c r="V30" s="237">
        <f>'Ножницы упор'!H26</f>
        <v>0</v>
      </c>
      <c r="W30" s="237" t="str">
        <f>'Ножницы упор'!I26</f>
        <v>---</v>
      </c>
      <c r="X30" s="238">
        <f>'Задание Ножницы лента'!I28</f>
        <v>0</v>
      </c>
      <c r="Y30" s="238" t="str">
        <f>'Задание Ножницы лента'!M28</f>
        <v>---</v>
      </c>
      <c r="Z30" s="238" t="str">
        <f>'Задание Ножницы лента'!J28</f>
        <v>---</v>
      </c>
      <c r="AA30" s="238" t="str">
        <f>'Задание Ножницы лента'!M28</f>
        <v>---</v>
      </c>
      <c r="AB30" s="239">
        <f>'Задание на резку'!K27</f>
        <v>0</v>
      </c>
      <c r="AC30" s="239">
        <f>'Задание на резку'!L27</f>
        <v>0</v>
      </c>
      <c r="AD30" s="239" t="str">
        <f>'Задание Ножницы лента'!O28</f>
        <v>---</v>
      </c>
      <c r="AE30" s="240" t="s">
        <v>294</v>
      </c>
      <c r="AF30" s="239">
        <f>'Задание Ножницы лента'!Q28</f>
        <v>0</v>
      </c>
      <c r="AG30" s="241">
        <f>'Задание Ножницы лента'!R28</f>
        <v>0</v>
      </c>
      <c r="AH30" s="222"/>
      <c r="AI30" s="183"/>
      <c r="AJ30" s="183"/>
      <c r="AN30" s="221">
        <f>'Задание Ножницы лента'!I28-'Задание Ножницы лента'!L28*2</f>
        <v>0</v>
      </c>
      <c r="AO30" s="221" t="e">
        <f>AN30/'Задание Ножницы лента'!K28</f>
        <v>#VALUE!</v>
      </c>
    </row>
    <row r="31" spans="1:41">
      <c r="AI31" s="18"/>
    </row>
    <row r="32" spans="1:41" hidden="1"/>
    <row r="33" spans="5:17" hidden="1"/>
    <row r="34" spans="5:17" hidden="1">
      <c r="E34" s="18"/>
      <c r="F34" s="18"/>
      <c r="G34" s="18"/>
      <c r="H34" s="18"/>
      <c r="I34" s="18"/>
      <c r="J34" s="18"/>
    </row>
    <row r="35" spans="5:17" ht="22.5">
      <c r="E35" s="18"/>
      <c r="F35" s="18"/>
      <c r="G35" s="114" t="s">
        <v>377</v>
      </c>
      <c r="H35" s="18"/>
      <c r="I35" s="18"/>
      <c r="J35" s="18"/>
    </row>
    <row r="36" spans="5:17">
      <c r="E36" s="18"/>
      <c r="F36" s="18"/>
      <c r="G36" s="18"/>
      <c r="H36" s="18"/>
      <c r="I36" s="18"/>
      <c r="J36" s="18"/>
    </row>
    <row r="37" spans="5:17" ht="22.5">
      <c r="E37" s="114"/>
      <c r="F37" s="114"/>
      <c r="G37" s="114" t="s">
        <v>331</v>
      </c>
      <c r="H37" s="114"/>
      <c r="I37" s="114"/>
      <c r="J37" s="18"/>
    </row>
    <row r="38" spans="5:17">
      <c r="K38" s="18"/>
      <c r="L38" s="18"/>
      <c r="M38" s="18"/>
      <c r="N38" s="18"/>
      <c r="O38" s="18"/>
      <c r="P38" s="18"/>
      <c r="Q38" s="18"/>
    </row>
    <row r="39" spans="5:17" ht="22.5" hidden="1">
      <c r="K39" s="18"/>
      <c r="L39" s="18"/>
      <c r="M39" s="18"/>
      <c r="N39" s="114"/>
      <c r="O39" s="18"/>
      <c r="P39" s="18"/>
      <c r="Q39" s="18"/>
    </row>
    <row r="40" spans="5:17" hidden="1"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</row>
    <row r="41" spans="5:17" hidden="1"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</row>
    <row r="42" spans="5:17" hidden="1">
      <c r="E42" s="18"/>
      <c r="F42" s="18"/>
      <c r="G42" s="18"/>
      <c r="H42" s="18"/>
      <c r="I42" s="18"/>
    </row>
    <row r="43" spans="5:17" hidden="1">
      <c r="E43" s="18"/>
      <c r="F43" s="18"/>
      <c r="G43" s="18"/>
      <c r="H43" s="18"/>
      <c r="I43" s="18"/>
    </row>
    <row r="44" spans="5:17" hidden="1">
      <c r="F44" s="18"/>
      <c r="G44" s="18"/>
      <c r="H44" s="18"/>
      <c r="I44" s="18"/>
      <c r="J44" s="18"/>
    </row>
    <row r="45" spans="5:17" ht="22.5">
      <c r="F45" s="114"/>
      <c r="G45" s="114" t="s">
        <v>333</v>
      </c>
      <c r="H45" s="114"/>
      <c r="I45" s="114"/>
      <c r="J45" s="18"/>
    </row>
    <row r="46" spans="5:17">
      <c r="K46" s="18"/>
      <c r="L46" s="18"/>
      <c r="M46" s="18"/>
      <c r="N46" s="18"/>
      <c r="O46" s="18"/>
      <c r="P46" s="18"/>
      <c r="Q46" s="18"/>
    </row>
    <row r="47" spans="5:17" ht="22.5">
      <c r="K47" s="18"/>
      <c r="L47" s="18"/>
      <c r="M47" s="114" t="s">
        <v>332</v>
      </c>
      <c r="N47" s="114"/>
      <c r="O47" s="18"/>
      <c r="P47" s="18"/>
      <c r="Q47" s="18"/>
    </row>
    <row r="48" spans="5:17"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</row>
    <row r="49" spans="6:17" ht="15" customHeight="1"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</row>
  </sheetData>
  <sheetProtection password="9690" sheet="1" objects="1" scenarios="1" formatCells="0" formatColumns="0" formatRows="0" insertColumns="0" insertRows="0" insertHyperlinks="0" deleteColumns="0" deleteRows="0" sort="0" autoFilter="0" pivotTables="0"/>
  <mergeCells count="36">
    <mergeCell ref="AI4:AJ9"/>
    <mergeCell ref="I8:I10"/>
    <mergeCell ref="J8:K8"/>
    <mergeCell ref="N4:R5"/>
    <mergeCell ref="N8:P9"/>
    <mergeCell ref="R9:R10"/>
    <mergeCell ref="W8:W10"/>
    <mergeCell ref="AJ10:AJ22"/>
    <mergeCell ref="AD7:AG7"/>
    <mergeCell ref="AD8:AG9"/>
    <mergeCell ref="AB8:AC9"/>
    <mergeCell ref="AA8:AA10"/>
    <mergeCell ref="T8:T10"/>
    <mergeCell ref="F2:H2"/>
    <mergeCell ref="U8:V8"/>
    <mergeCell ref="F8:F10"/>
    <mergeCell ref="G8:G10"/>
    <mergeCell ref="H8:H10"/>
    <mergeCell ref="M8:M10"/>
    <mergeCell ref="Q8:Q10"/>
    <mergeCell ref="U9:V9"/>
    <mergeCell ref="J7:Z7"/>
    <mergeCell ref="X8:Z9"/>
    <mergeCell ref="AL18:AL26"/>
    <mergeCell ref="AK7:AK10"/>
    <mergeCell ref="AK11:AK12"/>
    <mergeCell ref="AL12:AL16"/>
    <mergeCell ref="AL8:AL11"/>
    <mergeCell ref="AK17:AK29"/>
    <mergeCell ref="AK13:AK14"/>
    <mergeCell ref="AK15:AK16"/>
    <mergeCell ref="A17:A29"/>
    <mergeCell ref="B15:B29"/>
    <mergeCell ref="B13:B14"/>
    <mergeCell ref="C13:C29"/>
    <mergeCell ref="D13:D29"/>
  </mergeCells>
  <pageMargins left="0.18" right="0.17" top="0.19685039370078741" bottom="0.19685039370078741" header="0.31496062992125984" footer="0.31496062992125984"/>
  <pageSetup paperSize="9" scale="57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50"/>
  <sheetViews>
    <sheetView topLeftCell="A4" zoomScale="70" zoomScaleNormal="70" workbookViewId="0">
      <selection activeCell="B5" sqref="B5:C8"/>
    </sheetView>
  </sheetViews>
  <sheetFormatPr defaultRowHeight="15"/>
  <cols>
    <col min="1" max="1" width="7" customWidth="1"/>
    <col min="2" max="2" width="8.140625" customWidth="1"/>
    <col min="6" max="6" width="9.85546875" customWidth="1"/>
    <col min="8" max="8" width="3.85546875" customWidth="1"/>
    <col min="9" max="9" width="8.140625" hidden="1" customWidth="1"/>
    <col min="10" max="10" width="8.7109375" customWidth="1"/>
    <col min="11" max="11" width="7.140625" hidden="1" customWidth="1"/>
    <col min="12" max="12" width="11.5703125" hidden="1" customWidth="1"/>
    <col min="13" max="13" width="9.42578125" hidden="1" customWidth="1"/>
    <col min="14" max="14" width="7.140625" hidden="1" customWidth="1"/>
    <col min="15" max="15" width="10.85546875" customWidth="1"/>
    <col min="16" max="17" width="9.7109375" customWidth="1"/>
    <col min="18" max="18" width="6.85546875" customWidth="1"/>
    <col min="19" max="20" width="9.28515625" customWidth="1"/>
    <col min="21" max="21" width="10.28515625" customWidth="1"/>
    <col min="22" max="22" width="11" customWidth="1"/>
    <col min="23" max="23" width="15.28515625" customWidth="1"/>
    <col min="24" max="24" width="17.28515625" customWidth="1"/>
    <col min="25" max="25" width="10.28515625" customWidth="1"/>
    <col min="26" max="27" width="9.5703125" customWidth="1"/>
    <col min="28" max="28" width="7.85546875" customWidth="1"/>
    <col min="29" max="29" width="11.28515625" customWidth="1"/>
    <col min="31" max="35" width="0" hidden="1" customWidth="1"/>
  </cols>
  <sheetData>
    <row r="1" spans="2:42" hidden="1">
      <c r="E1" t="s">
        <v>237</v>
      </c>
    </row>
    <row r="2" spans="2:42" ht="26.25" hidden="1" customHeight="1">
      <c r="E2" s="117" t="s">
        <v>242</v>
      </c>
      <c r="F2" s="121"/>
      <c r="G2" s="120"/>
      <c r="H2" s="120"/>
      <c r="I2" s="74"/>
      <c r="N2" s="97"/>
      <c r="V2" s="74"/>
      <c r="W2" s="74"/>
      <c r="X2" s="74"/>
      <c r="Y2" s="74"/>
    </row>
    <row r="3" spans="2:42" ht="26.25" hidden="1">
      <c r="F3" s="88"/>
      <c r="G3" s="88"/>
      <c r="H3" s="88"/>
      <c r="I3" s="74"/>
    </row>
    <row r="4" spans="2:42" ht="19.5" thickBot="1">
      <c r="F4" s="651" t="s">
        <v>335</v>
      </c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2"/>
      <c r="X4" s="652"/>
      <c r="Y4" s="652"/>
      <c r="Z4" s="652"/>
      <c r="AA4" s="652"/>
      <c r="AB4" s="652"/>
      <c r="AC4" s="652"/>
      <c r="AD4" s="652"/>
      <c r="AE4" s="652"/>
      <c r="AG4" s="618" t="s">
        <v>243</v>
      </c>
      <c r="AH4" s="281"/>
    </row>
    <row r="5" spans="2:42" ht="50.25" customHeight="1" thickBot="1">
      <c r="B5" s="653">
        <f>'Исходные данные'!F4</f>
        <v>0</v>
      </c>
      <c r="C5" s="653"/>
      <c r="D5" s="192"/>
      <c r="E5" s="184" t="s">
        <v>227</v>
      </c>
      <c r="F5" s="80" t="s">
        <v>4</v>
      </c>
      <c r="G5" s="81" t="s">
        <v>0</v>
      </c>
      <c r="H5" s="185" t="s">
        <v>228</v>
      </c>
      <c r="I5" s="654" t="s">
        <v>319</v>
      </c>
      <c r="J5" s="654"/>
      <c r="K5" s="284"/>
      <c r="L5" s="284" t="s">
        <v>313</v>
      </c>
      <c r="M5" s="284" t="s">
        <v>38</v>
      </c>
      <c r="N5" s="654" t="s">
        <v>320</v>
      </c>
      <c r="O5" s="654"/>
      <c r="P5" s="284" t="s">
        <v>313</v>
      </c>
      <c r="Q5" s="284" t="s">
        <v>38</v>
      </c>
      <c r="R5" s="285" t="s">
        <v>229</v>
      </c>
      <c r="S5" s="282" t="s">
        <v>270</v>
      </c>
      <c r="T5" s="282" t="s">
        <v>38</v>
      </c>
      <c r="U5" s="302" t="s">
        <v>268</v>
      </c>
      <c r="V5" s="655" t="s">
        <v>269</v>
      </c>
      <c r="W5" s="657" t="s">
        <v>18</v>
      </c>
      <c r="X5" s="658"/>
      <c r="Y5" s="188" t="s">
        <v>38</v>
      </c>
      <c r="Z5" s="605" t="s">
        <v>232</v>
      </c>
      <c r="AA5" s="606"/>
      <c r="AB5" s="607"/>
      <c r="AC5" s="189" t="s">
        <v>38</v>
      </c>
      <c r="AD5" s="609" t="s">
        <v>328</v>
      </c>
      <c r="AE5" s="610"/>
      <c r="AF5" s="115">
        <f>'Исходные данные'!F4</f>
        <v>0</v>
      </c>
      <c r="AG5" s="618"/>
      <c r="AH5" s="281"/>
      <c r="AP5" t="s">
        <v>338</v>
      </c>
    </row>
    <row r="6" spans="2:42" ht="14.25" customHeight="1" thickBot="1">
      <c r="B6" s="653"/>
      <c r="C6" s="653"/>
      <c r="D6" s="192"/>
      <c r="E6" s="190"/>
      <c r="F6" s="82"/>
      <c r="G6" s="83"/>
      <c r="H6" s="191"/>
      <c r="I6" s="286"/>
      <c r="J6" s="286" t="s">
        <v>231</v>
      </c>
      <c r="K6" s="286"/>
      <c r="L6" s="286"/>
      <c r="M6" s="286"/>
      <c r="N6" s="286"/>
      <c r="O6" s="286" t="s">
        <v>32</v>
      </c>
      <c r="P6" s="286"/>
      <c r="Q6" s="286"/>
      <c r="R6" s="287"/>
      <c r="S6" s="283" t="s">
        <v>7</v>
      </c>
      <c r="T6" s="298"/>
      <c r="U6" s="301"/>
      <c r="V6" s="656"/>
      <c r="W6" s="304" t="s">
        <v>336</v>
      </c>
      <c r="X6" s="304" t="s">
        <v>337</v>
      </c>
      <c r="Y6" s="195"/>
      <c r="Z6" s="134" t="s">
        <v>7</v>
      </c>
      <c r="AA6" s="274" t="s">
        <v>12</v>
      </c>
      <c r="AB6" s="196" t="s">
        <v>5</v>
      </c>
      <c r="AC6" s="197"/>
      <c r="AD6" s="139" t="s">
        <v>7</v>
      </c>
      <c r="AE6" s="198" t="s">
        <v>38</v>
      </c>
      <c r="AF6" s="619" t="s">
        <v>280</v>
      </c>
      <c r="AG6" s="618"/>
      <c r="AH6" s="122"/>
    </row>
    <row r="7" spans="2:42" ht="51" customHeight="1">
      <c r="B7" s="653"/>
      <c r="C7" s="653"/>
      <c r="E7" s="125">
        <v>1</v>
      </c>
      <c r="F7" s="79">
        <f>'Исходные данные'!B6</f>
        <v>0</v>
      </c>
      <c r="G7" s="79">
        <f>'Исходные данные'!C6</f>
        <v>0</v>
      </c>
      <c r="H7" s="79">
        <f>'Исходные данные'!D6</f>
        <v>0</v>
      </c>
      <c r="I7" s="288">
        <f>IF('Исходные данные'!O6="---",IF('Исходные данные'!P6="---",IF('Исходные данные'!Q6="---",0,"ВГ050.00.00.001"),"ВМ0114.01.00.001"),"ВМ0113.01.00.001")</f>
        <v>0</v>
      </c>
      <c r="J7" s="289" t="str">
        <f>'Труматик гермики'!D7</f>
        <v>---</v>
      </c>
      <c r="K7" s="289"/>
      <c r="L7" s="289" t="str">
        <f>'Труматик гермики'!E7</f>
        <v>--</v>
      </c>
      <c r="M7" s="289">
        <f>'Исходные данные'!K6</f>
        <v>0</v>
      </c>
      <c r="N7" s="290">
        <f>IF('Исходные данные'!O6="---",IF('Исходные данные'!P6="---",IF('Исходные данные'!Q6="---",0,"ВГ050.00.00.002"),"ВМ0114.01.00.002"),"ВМ 0113.01.00.002")</f>
        <v>0</v>
      </c>
      <c r="O7" s="289">
        <f>'Исходные данные'!G6</f>
        <v>0</v>
      </c>
      <c r="P7" s="289" t="str">
        <f>'Труматик гермики'!E7</f>
        <v>--</v>
      </c>
      <c r="Q7" s="289" t="str">
        <f>'Труматик гермики'!J7</f>
        <v>---</v>
      </c>
      <c r="R7" s="289">
        <f>'Исходные данные'!H6</f>
        <v>0</v>
      </c>
      <c r="S7" s="299" t="str">
        <f>IF(G7="Регуляр",'Исходные данные'!G6-4,"---")</f>
        <v>---</v>
      </c>
      <c r="T7" s="299" t="str">
        <f>IF(S7="---","---",'Исходные данные'!K6)</f>
        <v>---</v>
      </c>
      <c r="U7" s="300" t="str">
        <f>IF(S7="---","---",'Труматик гермики'!Q7)</f>
        <v>---</v>
      </c>
      <c r="V7" s="300" t="str">
        <f>IF(S7="---","---",'Труматик гермики'!R7)</f>
        <v>---</v>
      </c>
      <c r="W7" s="199" t="str">
        <f>IF('Исходные данные'!M6=1,"Комплект кожухов","---")</f>
        <v>---</v>
      </c>
      <c r="X7" s="199"/>
      <c r="Y7" s="200" t="str">
        <f>'Труматик гермики'!J7</f>
        <v>---</v>
      </c>
      <c r="Z7" s="200">
        <f>IF(G7="Гермик ",'Исходные данные'!G6-3,'Исходные данные'!G6-5.5)</f>
        <v>-5.5</v>
      </c>
      <c r="AA7" s="200" t="str">
        <f>'Ножницы упор'!F7</f>
        <v>---</v>
      </c>
      <c r="AB7" s="200">
        <f>IF('Исходные данные'!M6=1,'Исходные данные'!H6*2,IF('Исходные данные'!M6=2,'Исходные данные'!H6*2,IF('Исходные данные'!M6=3,'Исходные данные'!H6*2,IF('Исходные данные'!M6=4,"---",))))</f>
        <v>0</v>
      </c>
      <c r="AC7" s="200" t="str">
        <f>'Ножницы упор'!I7</f>
        <v>---</v>
      </c>
      <c r="AD7" s="276">
        <f>IF('Исходные данные'!L6=3,'Исходные данные'!G6-5.5,0)</f>
        <v>0</v>
      </c>
      <c r="AE7" s="201">
        <v>0</v>
      </c>
      <c r="AF7" s="619"/>
      <c r="AG7" s="618"/>
      <c r="AH7" s="122"/>
    </row>
    <row r="8" spans="2:42" ht="52.5" customHeight="1">
      <c r="B8" s="653"/>
      <c r="C8" s="653"/>
      <c r="E8" s="125">
        <f>E7+1</f>
        <v>2</v>
      </c>
      <c r="F8" s="1">
        <f>'Исходные данные'!B7</f>
        <v>0</v>
      </c>
      <c r="G8" s="1">
        <f>'Исходные данные'!C7</f>
        <v>0</v>
      </c>
      <c r="H8" s="1">
        <f>'Исходные данные'!D7</f>
        <v>0</v>
      </c>
      <c r="I8" s="291">
        <f>IF('Исходные данные'!O7="---",IF('Исходные данные'!P7="---",IF('Исходные данные'!Q7="---",0,"ВГ050.00.00.001"),"ВМ0114.01.00.001"),"ВМ0113.01.00.001")</f>
        <v>0</v>
      </c>
      <c r="J8" s="292" t="str">
        <f>'Труматик гермики'!D8</f>
        <v>---</v>
      </c>
      <c r="K8" s="289"/>
      <c r="L8" s="289" t="str">
        <f>'Труматик гермики'!E8</f>
        <v>--</v>
      </c>
      <c r="M8" s="289">
        <f>'Исходные данные'!K7</f>
        <v>0</v>
      </c>
      <c r="N8" s="293">
        <f>IF('Исходные данные'!O7="---",IF('Исходные данные'!P7="---",IF('Исходные данные'!Q7="---",0,"ВГ050.00.00.002"),"ВМ0114.01.00.002"),"ВМ 0113.01.00.002")</f>
        <v>0</v>
      </c>
      <c r="O8" s="289">
        <f>'Исходные данные'!G7</f>
        <v>0</v>
      </c>
      <c r="P8" s="289" t="str">
        <f>'Труматик гермики'!E8</f>
        <v>--</v>
      </c>
      <c r="Q8" s="289" t="str">
        <f>'Труматик гермики'!J8</f>
        <v>---</v>
      </c>
      <c r="R8" s="292">
        <f>'Исходные данные'!H7</f>
        <v>0</v>
      </c>
      <c r="S8" s="299" t="str">
        <f>IF(G8="Регуляр",'Исходные данные'!G7-4,"---")</f>
        <v>---</v>
      </c>
      <c r="T8" s="299" t="str">
        <f>IF(S8="---","---",'Исходные данные'!K7)</f>
        <v>---</v>
      </c>
      <c r="U8" s="300" t="str">
        <f>IF(S8="---","---",'Труматик гермики'!Q8)</f>
        <v>---</v>
      </c>
      <c r="V8" s="300" t="str">
        <f>IF(S8="---","---",'Труматик гермики'!R8)</f>
        <v>---</v>
      </c>
      <c r="W8" s="202" t="str">
        <f>IF('Исходные данные'!M7=1,"Комплект кожухов","---")</f>
        <v>---</v>
      </c>
      <c r="X8" s="199"/>
      <c r="Y8" s="200" t="str">
        <f>'Труматик гермики'!J8</f>
        <v>---</v>
      </c>
      <c r="Z8" s="200">
        <f>IF(G8="Гермик ",'Исходные данные'!G7-3,'Исходные данные'!G7-5.5)</f>
        <v>-5.5</v>
      </c>
      <c r="AA8" s="200" t="str">
        <f>'Ножницы упор'!F8</f>
        <v>---</v>
      </c>
      <c r="AB8" s="200">
        <f>IF('Исходные данные'!M7=1,'Исходные данные'!H7*2,IF('Исходные данные'!M7=2,'Исходные данные'!H7*2,IF('Исходные данные'!M7=3,'Исходные данные'!H7*2,IF('Исходные данные'!M7=4,'Исходные данные'!H7*2,))))</f>
        <v>0</v>
      </c>
      <c r="AC8" s="200" t="str">
        <f>'Ножницы упор'!I8</f>
        <v>---</v>
      </c>
      <c r="AD8" s="276">
        <f>IF('Исходные данные'!L7=3,'Исходные данные'!G7-5.5,0)</f>
        <v>0</v>
      </c>
      <c r="AE8" s="201">
        <v>0</v>
      </c>
      <c r="AF8" s="619"/>
      <c r="AG8" s="281"/>
      <c r="AH8" s="122"/>
    </row>
    <row r="9" spans="2:42" ht="42" customHeight="1">
      <c r="B9" s="614" t="s">
        <v>287</v>
      </c>
      <c r="E9" s="125">
        <f t="shared" ref="E9:E24" si="0">E8+1</f>
        <v>3</v>
      </c>
      <c r="F9" s="1">
        <f>'Исходные данные'!B8</f>
        <v>0</v>
      </c>
      <c r="G9" s="1">
        <f>'Исходные данные'!C8</f>
        <v>0</v>
      </c>
      <c r="H9" s="1">
        <f>'Исходные данные'!D8</f>
        <v>0</v>
      </c>
      <c r="I9" s="291">
        <f>IF('Исходные данные'!O8="---",IF('Исходные данные'!P8="---",IF('Исходные данные'!Q8="---",0,"ВГ050.00.00.001"),"ВМ0114.01.00.001"),"ВМ0113.01.00.001")</f>
        <v>0</v>
      </c>
      <c r="J9" s="292" t="str">
        <f>'Труматик гермики'!D9</f>
        <v>---</v>
      </c>
      <c r="K9" s="289"/>
      <c r="L9" s="289" t="str">
        <f>'Труматик гермики'!E9</f>
        <v>--</v>
      </c>
      <c r="M9" s="289">
        <f>'Исходные данные'!K8</f>
        <v>0</v>
      </c>
      <c r="N9" s="293">
        <f>IF('Исходные данные'!O8="---",IF('Исходные данные'!P8="---",IF('Исходные данные'!Q8="---",0,"ВГ050.00.00.002"),"ВМ0114.01.00.002"),"ВМ 0113.01.00.002")</f>
        <v>0</v>
      </c>
      <c r="O9" s="289">
        <f>'Исходные данные'!G8</f>
        <v>0</v>
      </c>
      <c r="P9" s="289" t="str">
        <f>'Труматик гермики'!E9</f>
        <v>--</v>
      </c>
      <c r="Q9" s="289" t="str">
        <f>'Труматик гермики'!J9</f>
        <v>---</v>
      </c>
      <c r="R9" s="292">
        <f>'Исходные данные'!H8</f>
        <v>0</v>
      </c>
      <c r="S9" s="299" t="str">
        <f>IF(G9="Регуляр",'Исходные данные'!G8-4,"---")</f>
        <v>---</v>
      </c>
      <c r="T9" s="299" t="str">
        <f>IF(S9="---","---",'Исходные данные'!K8)</f>
        <v>---</v>
      </c>
      <c r="U9" s="300" t="str">
        <f>IF(S9="---","---",'Труматик гермики'!Q9)</f>
        <v>---</v>
      </c>
      <c r="V9" s="300" t="str">
        <f>IF(S9="---","---",'Труматик гермики'!R9)</f>
        <v>---</v>
      </c>
      <c r="W9" s="202" t="str">
        <f>IF('Исходные данные'!M8=1,"Комплект кожухов","---")</f>
        <v>---</v>
      </c>
      <c r="X9" s="199"/>
      <c r="Y9" s="200" t="str">
        <f>'Труматик гермики'!J9</f>
        <v>---</v>
      </c>
      <c r="Z9" s="200">
        <f>IF(G9="Гермик ",'Исходные данные'!G8-3,'Исходные данные'!G8-5.5)</f>
        <v>-5.5</v>
      </c>
      <c r="AA9" s="200" t="str">
        <f>'Ножницы упор'!F9</f>
        <v>---</v>
      </c>
      <c r="AB9" s="200">
        <f>IF('Исходные данные'!M8=1,'Исходные данные'!H8*2,IF('Исходные данные'!M8=2,'Исходные данные'!H8*2,IF('Исходные данные'!M8=3,'Исходные данные'!H8*2,IF('Исходные данные'!M8=4,"---",))))</f>
        <v>0</v>
      </c>
      <c r="AC9" s="200" t="str">
        <f>'Ножницы упор'!I9</f>
        <v>---</v>
      </c>
      <c r="AD9" s="276">
        <f>IF('Исходные данные'!L8=3,'Исходные данные'!G8-5.5,0)</f>
        <v>0</v>
      </c>
      <c r="AE9" s="201">
        <v>0</v>
      </c>
      <c r="AF9" s="619"/>
      <c r="AG9" s="281"/>
      <c r="AH9" s="122"/>
    </row>
    <row r="10" spans="2:42" ht="30.75" customHeight="1">
      <c r="B10" s="614"/>
      <c r="E10" s="125">
        <f t="shared" si="0"/>
        <v>4</v>
      </c>
      <c r="F10" s="1">
        <f>'Исходные данные'!B9</f>
        <v>0</v>
      </c>
      <c r="G10" s="1">
        <f>'Исходные данные'!C9</f>
        <v>0</v>
      </c>
      <c r="H10" s="1">
        <f>'Исходные данные'!D9</f>
        <v>0</v>
      </c>
      <c r="I10" s="291">
        <f>IF('Исходные данные'!O9="---",IF('Исходные данные'!P9="---",IF('Исходные данные'!Q9="---",0,"ВГ050.00.00.001"),"ВМ0114.01.00.001"),"ВМ0113.01.00.001")</f>
        <v>0</v>
      </c>
      <c r="J10" s="292" t="str">
        <f>'Труматик гермики'!D10</f>
        <v>---</v>
      </c>
      <c r="K10" s="289"/>
      <c r="L10" s="289" t="str">
        <f>'Труматик гермики'!E10</f>
        <v>--</v>
      </c>
      <c r="M10" s="289">
        <f>'Исходные данные'!K9</f>
        <v>0</v>
      </c>
      <c r="N10" s="293">
        <f>IF('Исходные данные'!O9="---",IF('Исходные данные'!P9="---",IF('Исходные данные'!Q9="---",0,"ВГ050.00.00.002"),"ВМ0114.01.00.002"),"ВМ 0113.01.00.002")</f>
        <v>0</v>
      </c>
      <c r="O10" s="289">
        <f>'Исходные данные'!G9</f>
        <v>0</v>
      </c>
      <c r="P10" s="289" t="str">
        <f>'Труматик гермики'!E10</f>
        <v>--</v>
      </c>
      <c r="Q10" s="289" t="str">
        <f>'Труматик гермики'!J10</f>
        <v>---</v>
      </c>
      <c r="R10" s="292">
        <f>'Исходные данные'!H9</f>
        <v>0</v>
      </c>
      <c r="S10" s="299" t="str">
        <f>IF(G10="Регуляр",'Исходные данные'!G9-4,"---")</f>
        <v>---</v>
      </c>
      <c r="T10" s="299" t="str">
        <f>IF(S10="---","---",'Исходные данные'!K9)</f>
        <v>---</v>
      </c>
      <c r="U10" s="300" t="str">
        <f>IF(S10="---","---",'Труматик гермики'!Q10)</f>
        <v>---</v>
      </c>
      <c r="V10" s="300" t="str">
        <f>IF(S10="---","---",'Труматик гермики'!R10)</f>
        <v>---</v>
      </c>
      <c r="W10" s="202" t="str">
        <f>IF('Исходные данные'!M9=1,"Комплект кожухов","---")</f>
        <v>---</v>
      </c>
      <c r="X10" s="199"/>
      <c r="Y10" s="200" t="str">
        <f>'Труматик гермики'!J10</f>
        <v>---</v>
      </c>
      <c r="Z10" s="200">
        <f>IF(G10="Гермик ",'Исходные данные'!G9-3,'Исходные данные'!G9-5.5)</f>
        <v>-5.5</v>
      </c>
      <c r="AA10" s="200" t="str">
        <f>'Ножницы упор'!F10</f>
        <v>---</v>
      </c>
      <c r="AB10" s="200">
        <f>IF('Исходные данные'!M9=1,'Исходные данные'!H9*2,IF('Исходные данные'!M9=2,'Исходные данные'!H9*2,IF('Исходные данные'!M9=3,'Исходные данные'!H9*2,IF('Исходные данные'!M9=4,"---",))))</f>
        <v>0</v>
      </c>
      <c r="AC10" s="200" t="str">
        <f>'Ножницы упор'!I10</f>
        <v>---</v>
      </c>
      <c r="AD10" s="276">
        <f>IF('Исходные данные'!L9=3,'Исходные данные'!G9-5.5,0)</f>
        <v>0</v>
      </c>
      <c r="AE10" s="201">
        <v>0</v>
      </c>
      <c r="AF10" s="619"/>
      <c r="AG10" s="618" t="s">
        <v>240</v>
      </c>
      <c r="AH10" s="122"/>
    </row>
    <row r="11" spans="2:42" ht="42" customHeight="1">
      <c r="B11" s="614"/>
      <c r="E11" s="125">
        <f t="shared" si="0"/>
        <v>5</v>
      </c>
      <c r="F11" s="1">
        <f>'Исходные данные'!B10</f>
        <v>0</v>
      </c>
      <c r="G11" s="1">
        <f>'Исходные данные'!C10</f>
        <v>0</v>
      </c>
      <c r="H11" s="1">
        <f>'Исходные данные'!D10</f>
        <v>0</v>
      </c>
      <c r="I11" s="291">
        <f>IF('Исходные данные'!O10="---",IF('Исходные данные'!P10="---",IF('Исходные данные'!Q10="---",0,"ВГ050.00.00.001"),"ВМ0114.01.00.001"),"ВМ0113.01.00.001")</f>
        <v>0</v>
      </c>
      <c r="J11" s="292" t="str">
        <f>'Труматик гермики'!D11</f>
        <v>---</v>
      </c>
      <c r="K11" s="289"/>
      <c r="L11" s="289" t="str">
        <f>'Труматик гермики'!E11</f>
        <v>--</v>
      </c>
      <c r="M11" s="289">
        <f>'Исходные данные'!K10</f>
        <v>0</v>
      </c>
      <c r="N11" s="293">
        <f>IF('Исходные данные'!O10="---",IF('Исходные данные'!P10="---",IF('Исходные данные'!Q10="---",0,"ВГ050.00.00.002"),"ВМ0114.01.00.002"),"ВМ 0113.01.00.002")</f>
        <v>0</v>
      </c>
      <c r="O11" s="289">
        <f>'Исходные данные'!G10</f>
        <v>0</v>
      </c>
      <c r="P11" s="289" t="str">
        <f>'Труматик гермики'!E11</f>
        <v>--</v>
      </c>
      <c r="Q11" s="289" t="str">
        <f>'Труматик гермики'!J11</f>
        <v>---</v>
      </c>
      <c r="R11" s="292">
        <f>'Исходные данные'!H10</f>
        <v>0</v>
      </c>
      <c r="S11" s="299" t="str">
        <f>IF(G11="Регуляр",'Исходные данные'!G10-4,"---")</f>
        <v>---</v>
      </c>
      <c r="T11" s="299" t="str">
        <f>IF(S11="---","---",'Исходные данные'!K10)</f>
        <v>---</v>
      </c>
      <c r="U11" s="300" t="str">
        <f>IF(S11="---","---",'Труматик гермики'!Q11)</f>
        <v>---</v>
      </c>
      <c r="V11" s="300" t="str">
        <f>IF(S11="---","---",'Труматик гермики'!R11)</f>
        <v>---</v>
      </c>
      <c r="W11" s="202" t="str">
        <f>IF('Исходные данные'!M10=1,"Комплект кожухов","---")</f>
        <v>---</v>
      </c>
      <c r="X11" s="199"/>
      <c r="Y11" s="200" t="str">
        <f>'Труматик гермики'!J11</f>
        <v>---</v>
      </c>
      <c r="Z11" s="200">
        <f>IF(G11="Гермик ",'Исходные данные'!G10-3,'Исходные данные'!G10-5.5)</f>
        <v>-5.5</v>
      </c>
      <c r="AA11" s="200" t="str">
        <f>'Ножницы упор'!F11</f>
        <v>---</v>
      </c>
      <c r="AB11" s="200">
        <f>IF('Исходные данные'!M10=1,'Исходные данные'!H10*2,IF('Исходные данные'!M10=2,'Исходные данные'!H10*2,IF('Исходные данные'!M10=3,'Исходные данные'!H10*2,IF('Исходные данные'!M10=4,"---",))))</f>
        <v>0</v>
      </c>
      <c r="AC11" s="200" t="str">
        <f>'Ножницы упор'!I11</f>
        <v>---</v>
      </c>
      <c r="AD11" s="276">
        <f>IF('Исходные данные'!L10=3,'Исходные данные'!G10-5.5,0)</f>
        <v>0</v>
      </c>
      <c r="AE11" s="201">
        <v>0</v>
      </c>
      <c r="AF11" s="619"/>
      <c r="AG11" s="618"/>
      <c r="AH11" s="281"/>
    </row>
    <row r="12" spans="2:42" ht="21.75" customHeight="1">
      <c r="B12" s="614"/>
      <c r="E12" s="125">
        <f t="shared" si="0"/>
        <v>6</v>
      </c>
      <c r="F12" s="1">
        <f>'Исходные данные'!B11</f>
        <v>0</v>
      </c>
      <c r="G12" s="1">
        <f>'Исходные данные'!C11</f>
        <v>0</v>
      </c>
      <c r="H12" s="1">
        <f>'Исходные данные'!D11</f>
        <v>0</v>
      </c>
      <c r="I12" s="291">
        <f>IF('Исходные данные'!O11="---",IF('Исходные данные'!P11="---",IF('Исходные данные'!Q11="---",0,"ВГ050.00.00.001"),"ВМ0114.01.00.001"),"ВМ0113.01.00.001")</f>
        <v>0</v>
      </c>
      <c r="J12" s="292" t="str">
        <f>'Труматик гермики'!D12</f>
        <v>---</v>
      </c>
      <c r="K12" s="289"/>
      <c r="L12" s="289" t="str">
        <f>'Труматик гермики'!E12</f>
        <v>--</v>
      </c>
      <c r="M12" s="289">
        <f>'Исходные данные'!K11</f>
        <v>0</v>
      </c>
      <c r="N12" s="293">
        <f>IF('Исходные данные'!O11="---",IF('Исходные данные'!P11="---",IF('Исходные данные'!Q11="---",0,"ВГ050.00.00.002"),"ВМ0114.01.00.002"),"ВМ 0113.01.00.002")</f>
        <v>0</v>
      </c>
      <c r="O12" s="289">
        <f>'Исходные данные'!G11</f>
        <v>0</v>
      </c>
      <c r="P12" s="289" t="str">
        <f>'Труматик гермики'!E12</f>
        <v>--</v>
      </c>
      <c r="Q12" s="289" t="str">
        <f>'Труматик гермики'!J12</f>
        <v>---</v>
      </c>
      <c r="R12" s="292">
        <f>'Исходные данные'!H11</f>
        <v>0</v>
      </c>
      <c r="S12" s="299" t="str">
        <f>IF(G12="Регуляр",'Исходные данные'!G11-4,"---")</f>
        <v>---</v>
      </c>
      <c r="T12" s="299" t="str">
        <f>IF(S12="---","---",'Исходные данные'!K11)</f>
        <v>---</v>
      </c>
      <c r="U12" s="300" t="str">
        <f>IF(S12="---","---",'Труматик гермики'!Q12)</f>
        <v>---</v>
      </c>
      <c r="V12" s="300" t="str">
        <f>IF(S12="---","---",'Труматик гермики'!R12)</f>
        <v>---</v>
      </c>
      <c r="W12" s="203" t="str">
        <f>IF('Исходные данные'!M11=1,"Комплект кожухов","---")</f>
        <v>---</v>
      </c>
      <c r="X12" s="200"/>
      <c r="Y12" s="200" t="str">
        <f>'Труматик гермики'!J12</f>
        <v>---</v>
      </c>
      <c r="Z12" s="200">
        <f>IF(G12="Гермик ",'Исходные данные'!G11-3,'Исходные данные'!G11-5.5)</f>
        <v>-5.5</v>
      </c>
      <c r="AA12" s="200" t="str">
        <f>'Ножницы упор'!F12</f>
        <v>---</v>
      </c>
      <c r="AB12" s="200">
        <f>IF('Исходные данные'!M11=1,'Исходные данные'!H11*2,IF('Исходные данные'!M11=2,'Исходные данные'!H11*2,IF('Исходные данные'!M11=3,'Исходные данные'!H11*2,IF('Исходные данные'!M11=4,"---",))))</f>
        <v>0</v>
      </c>
      <c r="AC12" s="200" t="str">
        <f>'Ножницы упор'!I12</f>
        <v>---</v>
      </c>
      <c r="AD12" s="276">
        <f>IF('Исходные данные'!L11=3,'Исходные данные'!G11-5.5,0)</f>
        <v>0</v>
      </c>
      <c r="AE12" s="201">
        <v>0</v>
      </c>
      <c r="AF12" s="619"/>
      <c r="AG12" s="618"/>
      <c r="AH12" s="618" t="s">
        <v>239</v>
      </c>
    </row>
    <row r="13" spans="2:42" ht="21.75" customHeight="1">
      <c r="B13" s="614"/>
      <c r="E13" s="125">
        <f t="shared" si="0"/>
        <v>7</v>
      </c>
      <c r="F13" s="1">
        <f>'Исходные данные'!B12</f>
        <v>0</v>
      </c>
      <c r="G13" s="1">
        <f>'Исходные данные'!C12</f>
        <v>0</v>
      </c>
      <c r="H13" s="1">
        <f>'Исходные данные'!D12</f>
        <v>0</v>
      </c>
      <c r="I13" s="291">
        <f>IF('Исходные данные'!O12="---",IF('Исходные данные'!P12="---",IF('Исходные данные'!Q12="---",0,"ВГ050.00.00.001"),"ВМ0114.01.00.001"),"ВМ0113.01.00.001")</f>
        <v>0</v>
      </c>
      <c r="J13" s="292" t="str">
        <f>'Труматик гермики'!D13</f>
        <v>---</v>
      </c>
      <c r="K13" s="289"/>
      <c r="L13" s="289" t="str">
        <f>'Труматик гермики'!E13</f>
        <v>--</v>
      </c>
      <c r="M13" s="289">
        <f>'Исходные данные'!K12</f>
        <v>0</v>
      </c>
      <c r="N13" s="293">
        <f>IF('Исходные данные'!O12="---",IF('Исходные данные'!P12="---",IF('Исходные данные'!Q12="---",0,"ВГ050.00.00.002"),"ВМ0114.01.00.002"),"ВМ 0113.01.00.002")</f>
        <v>0</v>
      </c>
      <c r="O13" s="289">
        <f>'Исходные данные'!G12</f>
        <v>0</v>
      </c>
      <c r="P13" s="289" t="str">
        <f>'Труматик гермики'!E13</f>
        <v>--</v>
      </c>
      <c r="Q13" s="289" t="str">
        <f>'Труматик гермики'!J13</f>
        <v>---</v>
      </c>
      <c r="R13" s="292">
        <f>'Исходные данные'!H12</f>
        <v>0</v>
      </c>
      <c r="S13" s="299" t="str">
        <f>IF(G13="Регуляр",'Исходные данные'!G12-4,"---")</f>
        <v>---</v>
      </c>
      <c r="T13" s="299" t="str">
        <f>IF(S13="---","---",'Исходные данные'!K12)</f>
        <v>---</v>
      </c>
      <c r="U13" s="300" t="str">
        <f>IF(S13="---","---",'Труматик гермики'!Q13)</f>
        <v>---</v>
      </c>
      <c r="V13" s="300" t="str">
        <f>IF(S13="---","---",'Труматик гермики'!R13)</f>
        <v>---</v>
      </c>
      <c r="W13" s="203" t="str">
        <f>IF('Исходные данные'!M12=1,"Комплект кожухов","---")</f>
        <v>---</v>
      </c>
      <c r="X13" s="200"/>
      <c r="Y13" s="200" t="str">
        <f>'Труматик гермики'!J13</f>
        <v>---</v>
      </c>
      <c r="Z13" s="200">
        <f>IF(G13="Гермик ",'Исходные данные'!G12-3,'Исходные данные'!G12-5.5)</f>
        <v>-5.5</v>
      </c>
      <c r="AA13" s="200" t="str">
        <f>'Ножницы упор'!F13</f>
        <v>---</v>
      </c>
      <c r="AB13" s="200">
        <f>IF('Исходные данные'!M12=1,'Исходные данные'!H12*2,IF('Исходные данные'!M12=2,'Исходные данные'!H12*2,IF('Исходные данные'!M12=3,'Исходные данные'!H12*2,IF('Исходные данные'!M12=4,"---",))))</f>
        <v>0</v>
      </c>
      <c r="AC13" s="200" t="str">
        <f>'Ножницы упор'!I13</f>
        <v>---</v>
      </c>
      <c r="AD13" s="276">
        <f>IF('Исходные данные'!L12=3,'Исходные данные'!G12-5.5,0)</f>
        <v>0</v>
      </c>
      <c r="AE13" s="201">
        <v>0</v>
      </c>
      <c r="AF13" s="619"/>
      <c r="AG13" s="618"/>
      <c r="AH13" s="618"/>
    </row>
    <row r="14" spans="2:42" ht="21.75" customHeight="1">
      <c r="B14" s="614"/>
      <c r="E14" s="125">
        <f t="shared" si="0"/>
        <v>8</v>
      </c>
      <c r="F14" s="1">
        <f>'Исходные данные'!B13</f>
        <v>0</v>
      </c>
      <c r="G14" s="1">
        <f>'Исходные данные'!C13</f>
        <v>0</v>
      </c>
      <c r="H14" s="1">
        <f>'Исходные данные'!D13</f>
        <v>0</v>
      </c>
      <c r="I14" s="291">
        <f>IF('Исходные данные'!O13="---",IF('Исходные данные'!P13="---",IF('Исходные данные'!Q13="---",0,"ВГ050.00.00.001"),"ВМ0114.01.00.001"),"ВМ0113.01.00.001")</f>
        <v>0</v>
      </c>
      <c r="J14" s="292" t="str">
        <f>'Труматик гермики'!D14</f>
        <v>---</v>
      </c>
      <c r="K14" s="289"/>
      <c r="L14" s="289" t="str">
        <f>'Труматик гермики'!E14</f>
        <v>--</v>
      </c>
      <c r="M14" s="289">
        <f>'Исходные данные'!K13</f>
        <v>0</v>
      </c>
      <c r="N14" s="293">
        <f>IF('Исходные данные'!O13="---",IF('Исходные данные'!P13="---",IF('Исходные данные'!Q13="---",0,"ВГ050.00.00.002"),"ВМ0114.01.00.002"),"ВМ 0113.01.00.002")</f>
        <v>0</v>
      </c>
      <c r="O14" s="289">
        <f>'Исходные данные'!G13</f>
        <v>0</v>
      </c>
      <c r="P14" s="289" t="str">
        <f>'Труматик гермики'!E14</f>
        <v>--</v>
      </c>
      <c r="Q14" s="289" t="str">
        <f>'Труматик гермики'!J14</f>
        <v>---</v>
      </c>
      <c r="R14" s="292">
        <f>'Исходные данные'!H13</f>
        <v>0</v>
      </c>
      <c r="S14" s="299" t="str">
        <f>IF(G14="Регуляр",'Исходные данные'!G13-4,"---")</f>
        <v>---</v>
      </c>
      <c r="T14" s="299" t="str">
        <f>IF(S14="---","---",'Исходные данные'!K13)</f>
        <v>---</v>
      </c>
      <c r="U14" s="300" t="str">
        <f>IF(S14="---","---",'Труматик гермики'!Q14)</f>
        <v>---</v>
      </c>
      <c r="V14" s="300" t="str">
        <f>IF(S14="---","---",'Труматик гермики'!R14)</f>
        <v>---</v>
      </c>
      <c r="W14" s="203" t="str">
        <f>IF('Исходные данные'!M13=1,"Комплект кожухов","---")</f>
        <v>---</v>
      </c>
      <c r="X14" s="200"/>
      <c r="Y14" s="200" t="str">
        <f>'Труматик гермики'!J14</f>
        <v>---</v>
      </c>
      <c r="Z14" s="200">
        <f>IF(G14="Гермик ",'Исходные данные'!G13-3,'Исходные данные'!G13-5.5)</f>
        <v>-5.5</v>
      </c>
      <c r="AA14" s="200" t="str">
        <f>'Ножницы упор'!F14</f>
        <v>---</v>
      </c>
      <c r="AB14" s="200">
        <f>IF('Исходные данные'!M13=1,'Исходные данные'!H13*2,IF('Исходные данные'!M13=2,'Исходные данные'!H13*2,IF('Исходные данные'!M13=3,'Исходные данные'!H13*2,IF('Исходные данные'!M13=4,"---",))))</f>
        <v>0</v>
      </c>
      <c r="AC14" s="200" t="str">
        <f>'Ножницы упор'!I14</f>
        <v>---</v>
      </c>
      <c r="AD14" s="276">
        <f>IF('Исходные данные'!L13=3,'Исходные данные'!G13-5.5,0)</f>
        <v>0</v>
      </c>
      <c r="AE14" s="201">
        <v>0</v>
      </c>
      <c r="AF14" s="619"/>
      <c r="AG14" s="618"/>
      <c r="AH14" s="618"/>
    </row>
    <row r="15" spans="2:42" ht="21.75" customHeight="1">
      <c r="B15" s="614"/>
      <c r="E15" s="125">
        <f t="shared" si="0"/>
        <v>9</v>
      </c>
      <c r="F15" s="1">
        <f>'Исходные данные'!B14</f>
        <v>0</v>
      </c>
      <c r="G15" s="1">
        <f>'Исходные данные'!C14</f>
        <v>0</v>
      </c>
      <c r="H15" s="1">
        <f>'Исходные данные'!D14</f>
        <v>0</v>
      </c>
      <c r="I15" s="291">
        <f>IF('Исходные данные'!O14="---",IF('Исходные данные'!P14="---",IF('Исходные данные'!Q14="---",0,"ВГ050.00.00.001"),"ВМ0114.01.00.001"),"ВМ0113.01.00.001")</f>
        <v>0</v>
      </c>
      <c r="J15" s="292" t="str">
        <f>'Труматик гермики'!D15</f>
        <v>---</v>
      </c>
      <c r="K15" s="289"/>
      <c r="L15" s="289" t="str">
        <f>'Труматик гермики'!E15</f>
        <v>--</v>
      </c>
      <c r="M15" s="289">
        <f>'Исходные данные'!K14</f>
        <v>0</v>
      </c>
      <c r="N15" s="293">
        <f>IF('Исходные данные'!O14="---",IF('Исходные данные'!P14="---",IF('Исходные данные'!Q14="---",0,"ВГ050.00.00.002"),"ВМ0114.01.00.002"),"ВМ 0113.01.00.002")</f>
        <v>0</v>
      </c>
      <c r="O15" s="289">
        <f>'Исходные данные'!G14</f>
        <v>0</v>
      </c>
      <c r="P15" s="289" t="str">
        <f>'Труматик гермики'!E15</f>
        <v>--</v>
      </c>
      <c r="Q15" s="289" t="str">
        <f>'Труматик гермики'!J15</f>
        <v>---</v>
      </c>
      <c r="R15" s="292">
        <f>'Исходные данные'!H14</f>
        <v>0</v>
      </c>
      <c r="S15" s="299" t="str">
        <f>IF(G15="Регуляр",'Исходные данные'!G14-4,"---")</f>
        <v>---</v>
      </c>
      <c r="T15" s="299" t="str">
        <f>IF(S15="---","---",'Исходные данные'!K14)</f>
        <v>---</v>
      </c>
      <c r="U15" s="300" t="str">
        <f>IF(S15="---","---",'Труматик гермики'!Q15)</f>
        <v>---</v>
      </c>
      <c r="V15" s="300" t="str">
        <f>IF(S15="---","---",'Труматик гермики'!R15)</f>
        <v>---</v>
      </c>
      <c r="W15" s="203" t="str">
        <f>IF('Исходные данные'!M14=1,"Комплект кожухов","---")</f>
        <v>---</v>
      </c>
      <c r="X15" s="200"/>
      <c r="Y15" s="200" t="str">
        <f>'Труматик гермики'!J15</f>
        <v>---</v>
      </c>
      <c r="Z15" s="200">
        <f>IF(G15="Гермик ",'Исходные данные'!G14-3,'Исходные данные'!G14-5.5)</f>
        <v>-5.5</v>
      </c>
      <c r="AA15" s="200" t="str">
        <f>'Ножницы упор'!F15</f>
        <v>---</v>
      </c>
      <c r="AB15" s="200">
        <f>IF('Исходные данные'!M14=1,'Исходные данные'!H14*2,IF('Исходные данные'!M14=2,'Исходные данные'!H14*2,IF('Исходные данные'!M14=3,'Исходные данные'!H14*2,IF('Исходные данные'!M14=4,"---",))))</f>
        <v>0</v>
      </c>
      <c r="AC15" s="200" t="str">
        <f>'Ножницы упор'!I15</f>
        <v>---</v>
      </c>
      <c r="AD15" s="276">
        <f>IF('Исходные данные'!L14=3,'Исходные данные'!G14-5.5,0)</f>
        <v>0</v>
      </c>
      <c r="AE15" s="201">
        <v>0</v>
      </c>
      <c r="AF15" s="619"/>
      <c r="AG15" s="618"/>
      <c r="AH15" s="281"/>
    </row>
    <row r="16" spans="2:42" ht="21.75" customHeight="1">
      <c r="B16" s="614"/>
      <c r="E16" s="125">
        <f t="shared" si="0"/>
        <v>10</v>
      </c>
      <c r="F16" s="1">
        <f>'Исходные данные'!B15</f>
        <v>0</v>
      </c>
      <c r="G16" s="1">
        <f>'Исходные данные'!C15</f>
        <v>0</v>
      </c>
      <c r="H16" s="1">
        <f>'Исходные данные'!D15</f>
        <v>0</v>
      </c>
      <c r="I16" s="291">
        <f>IF('Исходные данные'!O15="---",IF('Исходные данные'!P15="---",IF('Исходные данные'!Q15="---",0,"ВГ050.00.00.001"),"ВМ0114.01.00.001"),"ВМ0113.01.00.001")</f>
        <v>0</v>
      </c>
      <c r="J16" s="292" t="str">
        <f>'Труматик гермики'!D16</f>
        <v>---</v>
      </c>
      <c r="K16" s="289"/>
      <c r="L16" s="289" t="str">
        <f>'Труматик гермики'!E16</f>
        <v>--</v>
      </c>
      <c r="M16" s="289">
        <f>'Исходные данные'!K15</f>
        <v>0</v>
      </c>
      <c r="N16" s="293">
        <f>IF('Исходные данные'!O15="---",IF('Исходные данные'!P15="---",IF('Исходные данные'!Q15="---",0,"ВГ050.00.00.002"),"ВМ0114.01.00.002"),"ВМ 0113.01.00.002")</f>
        <v>0</v>
      </c>
      <c r="O16" s="289">
        <f>'Исходные данные'!G15</f>
        <v>0</v>
      </c>
      <c r="P16" s="289" t="str">
        <f>'Труматик гермики'!E16</f>
        <v>--</v>
      </c>
      <c r="Q16" s="289" t="str">
        <f>'Труматик гермики'!J16</f>
        <v>---</v>
      </c>
      <c r="R16" s="292">
        <f>'Исходные данные'!H15</f>
        <v>0</v>
      </c>
      <c r="S16" s="299" t="str">
        <f>IF(G16="Регуляр",'Исходные данные'!G15-4,"---")</f>
        <v>---</v>
      </c>
      <c r="T16" s="299" t="str">
        <f>IF(S16="---","---",'Исходные данные'!K15)</f>
        <v>---</v>
      </c>
      <c r="U16" s="300" t="str">
        <f>IF(S16="---","---",'Труматик гермики'!Q16)</f>
        <v>---</v>
      </c>
      <c r="V16" s="300" t="str">
        <f>IF(S16="---","---",'Труматик гермики'!R16)</f>
        <v>---</v>
      </c>
      <c r="W16" s="203" t="str">
        <f>IF('Исходные данные'!M15=1,"Комплект кожухов","---")</f>
        <v>---</v>
      </c>
      <c r="X16" s="200"/>
      <c r="Y16" s="200" t="str">
        <f>'Труматик гермики'!J16</f>
        <v>---</v>
      </c>
      <c r="Z16" s="200">
        <f>IF(G16="Гермик ",'Исходные данные'!G15-3,'Исходные данные'!G15-5.5)</f>
        <v>-5.5</v>
      </c>
      <c r="AA16" s="200" t="str">
        <f>'Ножницы упор'!F16</f>
        <v>---</v>
      </c>
      <c r="AB16" s="200">
        <f>IF('Исходные данные'!M15=1,'Исходные данные'!H15*2,IF('Исходные данные'!M15=2,'Исходные данные'!H15*2,IF('Исходные данные'!M15=3,'Исходные данные'!H15*2,IF('Исходные данные'!M15=4,"---",))))</f>
        <v>0</v>
      </c>
      <c r="AC16" s="200" t="str">
        <f>'Ножницы упор'!I16</f>
        <v>---</v>
      </c>
      <c r="AD16" s="276">
        <f>IF('Исходные данные'!L15=3,'Исходные данные'!G15-5.5,0)</f>
        <v>0</v>
      </c>
      <c r="AE16" s="201">
        <v>0</v>
      </c>
      <c r="AF16" s="619"/>
      <c r="AG16" s="618"/>
      <c r="AH16" s="618" t="s">
        <v>241</v>
      </c>
    </row>
    <row r="17" spans="1:34" ht="21.75" customHeight="1">
      <c r="B17" s="614"/>
      <c r="C17" s="481" t="s">
        <v>285</v>
      </c>
      <c r="D17" s="483" t="s">
        <v>286</v>
      </c>
      <c r="E17" s="125">
        <f t="shared" si="0"/>
        <v>11</v>
      </c>
      <c r="F17" s="1">
        <f>'Исходные данные'!B16</f>
        <v>0</v>
      </c>
      <c r="G17" s="1">
        <f>'Исходные данные'!C16</f>
        <v>0</v>
      </c>
      <c r="H17" s="1">
        <f>'Исходные данные'!D16</f>
        <v>0</v>
      </c>
      <c r="I17" s="291">
        <f>IF('Исходные данные'!O16="---",IF('Исходные данные'!P16="---",IF('Исходные данные'!Q16="---",0,"ВГ050.00.00.001"),"ВМ0114.01.00.001"),"ВМ0113.01.00.001")</f>
        <v>0</v>
      </c>
      <c r="J17" s="292" t="str">
        <f>'Труматик гермики'!D17</f>
        <v>---</v>
      </c>
      <c r="K17" s="289"/>
      <c r="L17" s="289" t="str">
        <f>'Труматик гермики'!E17</f>
        <v>--</v>
      </c>
      <c r="M17" s="289">
        <f>'Исходные данные'!K16</f>
        <v>0</v>
      </c>
      <c r="N17" s="293">
        <f>IF('Исходные данные'!O16="---",IF('Исходные данные'!P16="---",IF('Исходные данные'!Q16="---",0,"ВГ050.00.00.002"),"ВМ0114.01.00.002"),"ВМ 0113.01.00.002")</f>
        <v>0</v>
      </c>
      <c r="O17" s="289">
        <f>'Исходные данные'!G16</f>
        <v>0</v>
      </c>
      <c r="P17" s="289" t="str">
        <f>'Труматик гермики'!E17</f>
        <v>--</v>
      </c>
      <c r="Q17" s="289" t="str">
        <f>'Труматик гермики'!J17</f>
        <v>---</v>
      </c>
      <c r="R17" s="292">
        <f>'Исходные данные'!H16</f>
        <v>0</v>
      </c>
      <c r="S17" s="299" t="str">
        <f>IF(G17="Регуляр",'Исходные данные'!G16-4,"---")</f>
        <v>---</v>
      </c>
      <c r="T17" s="299" t="str">
        <f>IF(S17="---","---",'Исходные данные'!K16)</f>
        <v>---</v>
      </c>
      <c r="U17" s="300" t="str">
        <f>IF(S17="---","---",'Труматик гермики'!Q17)</f>
        <v>---</v>
      </c>
      <c r="V17" s="300" t="str">
        <f>IF(S17="---","---",'Труматик гермики'!R17)</f>
        <v>---</v>
      </c>
      <c r="W17" s="203" t="str">
        <f>IF('Исходные данные'!M16=1,"Комплект кожухов","---")</f>
        <v>---</v>
      </c>
      <c r="X17" s="200"/>
      <c r="Y17" s="200" t="str">
        <f>'Труматик гермики'!J17</f>
        <v>---</v>
      </c>
      <c r="Z17" s="200">
        <f>IF(G17="Гермик ",'Исходные данные'!G16-3,'Исходные данные'!G16-5.5)</f>
        <v>-5.5</v>
      </c>
      <c r="AA17" s="200" t="str">
        <f>'Ножницы упор'!F17</f>
        <v>---</v>
      </c>
      <c r="AB17" s="200">
        <f>IF('Исходные данные'!M16=1,'Исходные данные'!H16*2,IF('Исходные данные'!M16=2,'Исходные данные'!H16*2,IF('Исходные данные'!M16=3,'Исходные данные'!H16*2,IF('Исходные данные'!M16=4,"---",))))</f>
        <v>0</v>
      </c>
      <c r="AC17" s="200" t="str">
        <f>'Ножницы упор'!I17</f>
        <v>---</v>
      </c>
      <c r="AD17" s="276">
        <f>IF('Исходные данные'!L16=3,'Исходные данные'!G16-5.5,0)</f>
        <v>0</v>
      </c>
      <c r="AE17" s="201">
        <v>0</v>
      </c>
      <c r="AG17" s="618"/>
      <c r="AH17" s="618"/>
    </row>
    <row r="18" spans="1:34" ht="21.75" customHeight="1">
      <c r="B18" s="614"/>
      <c r="C18" s="481"/>
      <c r="D18" s="483"/>
      <c r="E18" s="125">
        <f t="shared" si="0"/>
        <v>12</v>
      </c>
      <c r="F18" s="1">
        <f>'Исходные данные'!B17</f>
        <v>0</v>
      </c>
      <c r="G18" s="1">
        <f>'Исходные данные'!C17</f>
        <v>0</v>
      </c>
      <c r="H18" s="1">
        <f>'Исходные данные'!D17</f>
        <v>0</v>
      </c>
      <c r="I18" s="291">
        <f>IF('Исходные данные'!O17="---",IF('Исходные данные'!P17="---",IF('Исходные данные'!Q17="---",0,"ВГ050.00.00.001"),"ВМ0114.01.00.001"),"ВМ0113.01.00.001")</f>
        <v>0</v>
      </c>
      <c r="J18" s="292" t="str">
        <f>'Труматик гермики'!D18</f>
        <v>---</v>
      </c>
      <c r="K18" s="289"/>
      <c r="L18" s="289" t="str">
        <f>'Труматик гермики'!E18</f>
        <v>--</v>
      </c>
      <c r="M18" s="289">
        <f>'Исходные данные'!K17</f>
        <v>0</v>
      </c>
      <c r="N18" s="293">
        <f>IF('Исходные данные'!O17="---",IF('Исходные данные'!P17="---",IF('Исходные данные'!Q17="---",0,"ВГ050.00.00.002"),"ВМ0114.01.00.002"),"ВМ 0113.01.00.002")</f>
        <v>0</v>
      </c>
      <c r="O18" s="289">
        <f>'Исходные данные'!G17</f>
        <v>0</v>
      </c>
      <c r="P18" s="289" t="str">
        <f>'Труматик гермики'!E18</f>
        <v>--</v>
      </c>
      <c r="Q18" s="289" t="str">
        <f>'Труматик гермики'!J18</f>
        <v>---</v>
      </c>
      <c r="R18" s="292">
        <f>'Исходные данные'!H17</f>
        <v>0</v>
      </c>
      <c r="S18" s="299" t="str">
        <f>IF(G18="Регуляр",'Исходные данные'!G17-4,"---")</f>
        <v>---</v>
      </c>
      <c r="T18" s="299" t="str">
        <f>IF(S18="---","---",'Исходные данные'!K17)</f>
        <v>---</v>
      </c>
      <c r="U18" s="300" t="str">
        <f>IF(S18="---","---",'Труматик гермики'!Q18)</f>
        <v>---</v>
      </c>
      <c r="V18" s="300" t="str">
        <f>IF(S18="---","---",'Труматик гермики'!R18)</f>
        <v>---</v>
      </c>
      <c r="W18" s="203" t="str">
        <f>IF('Исходные данные'!M17=1,"Комплект кожухов","---")</f>
        <v>---</v>
      </c>
      <c r="X18" s="200"/>
      <c r="Y18" s="200" t="str">
        <f>'Труматик гермики'!J18</f>
        <v>---</v>
      </c>
      <c r="Z18" s="200">
        <f>IF(G18="Гермик ",'Исходные данные'!G17-3,'Исходные данные'!G17-5.5)</f>
        <v>-5.5</v>
      </c>
      <c r="AA18" s="200" t="str">
        <f>'Ножницы упор'!F18</f>
        <v>---</v>
      </c>
      <c r="AB18" s="200">
        <f>IF('Исходные данные'!M17=1,'Исходные данные'!H17*2,IF('Исходные данные'!M17=2,'Исходные данные'!H17*2,IF('Исходные данные'!M17=3,'Исходные данные'!H17*2,IF('Исходные данные'!M17=4,"---",))))</f>
        <v>0</v>
      </c>
      <c r="AC18" s="200" t="str">
        <f>'Ножницы упор'!I18</f>
        <v>---</v>
      </c>
      <c r="AD18" s="276">
        <f>IF('Исходные данные'!L17=3,'Исходные данные'!G17-5.5,0)</f>
        <v>0</v>
      </c>
      <c r="AE18" s="201">
        <v>0</v>
      </c>
      <c r="AF18" s="508" t="s">
        <v>242</v>
      </c>
      <c r="AG18" s="618"/>
      <c r="AH18" s="618"/>
    </row>
    <row r="19" spans="1:34" ht="18.75" customHeight="1">
      <c r="B19" s="614"/>
      <c r="C19" s="481"/>
      <c r="D19" s="483"/>
      <c r="E19" s="125">
        <f t="shared" si="0"/>
        <v>13</v>
      </c>
      <c r="F19" s="1">
        <f>'Исходные данные'!B18</f>
        <v>0</v>
      </c>
      <c r="G19" s="1">
        <f>'Исходные данные'!C18</f>
        <v>0</v>
      </c>
      <c r="H19" s="1">
        <f>'Исходные данные'!D18</f>
        <v>0</v>
      </c>
      <c r="I19" s="291">
        <f>IF('Исходные данные'!O18="---",IF('Исходные данные'!P18="---",IF('Исходные данные'!Q18="---",0,"ВГ050.00.00.001"),"ВМ0114.01.00.001"),"ВМ0113.01.00.001")</f>
        <v>0</v>
      </c>
      <c r="J19" s="292" t="str">
        <f>'Труматик гермики'!D19</f>
        <v>---</v>
      </c>
      <c r="K19" s="289"/>
      <c r="L19" s="289" t="str">
        <f>'Труматик гермики'!E19</f>
        <v>--</v>
      </c>
      <c r="M19" s="289">
        <f>'Исходные данные'!K18</f>
        <v>0</v>
      </c>
      <c r="N19" s="293">
        <f>IF('Исходные данные'!O18="---",IF('Исходные данные'!P18="---",IF('Исходные данные'!Q18="---",0,"ВГ050.00.00.002"),"ВМ0114.01.00.002"),"ВМ 0113.01.00.002")</f>
        <v>0</v>
      </c>
      <c r="O19" s="289">
        <f>'Исходные данные'!G18</f>
        <v>0</v>
      </c>
      <c r="P19" s="289" t="str">
        <f>'Труматик гермики'!E19</f>
        <v>--</v>
      </c>
      <c r="Q19" s="289" t="str">
        <f>'Труматик гермики'!J19</f>
        <v>---</v>
      </c>
      <c r="R19" s="292">
        <f>'Исходные данные'!H18</f>
        <v>0</v>
      </c>
      <c r="S19" s="299" t="str">
        <f>IF(G19="Регуляр",'Исходные данные'!G18-4,"---")</f>
        <v>---</v>
      </c>
      <c r="T19" s="299" t="str">
        <f>IF(S19="---","---",'Исходные данные'!K18)</f>
        <v>---</v>
      </c>
      <c r="U19" s="300" t="str">
        <f>IF(S19="---","---",'Труматик гермики'!Q19)</f>
        <v>---</v>
      </c>
      <c r="V19" s="300" t="str">
        <f>IF(S19="---","---",'Труматик гермики'!R19)</f>
        <v>---</v>
      </c>
      <c r="W19" s="203" t="str">
        <f>IF('Исходные данные'!M18=1,"Комплект кожухов","---")</f>
        <v>---</v>
      </c>
      <c r="X19" s="200"/>
      <c r="Y19" s="200" t="str">
        <f>'Труматик гермики'!J19</f>
        <v>---</v>
      </c>
      <c r="Z19" s="200">
        <f>IF(G19="Гермик ",'Исходные данные'!G18-3,'Исходные данные'!G18-5.5)</f>
        <v>-5.5</v>
      </c>
      <c r="AA19" s="200" t="str">
        <f>'Ножницы упор'!F19</f>
        <v>---</v>
      </c>
      <c r="AB19" s="200">
        <f>IF('Исходные данные'!M18=1,'Исходные данные'!H18*2,IF('Исходные данные'!M18=2,'Исходные данные'!H18*2,IF('Исходные данные'!M18=3,'Исходные данные'!H18*2,IF('Исходные данные'!M18=4,"---",))))</f>
        <v>0</v>
      </c>
      <c r="AC19" s="200" t="str">
        <f>'Ножницы упор'!I19</f>
        <v>---</v>
      </c>
      <c r="AD19" s="276">
        <f>IF('Исходные данные'!L18=3,'Исходные данные'!G18-5.5,0)</f>
        <v>0</v>
      </c>
      <c r="AE19" s="201">
        <v>0</v>
      </c>
      <c r="AF19" s="508"/>
      <c r="AG19" s="618"/>
      <c r="AH19" s="618"/>
    </row>
    <row r="20" spans="1:34" ht="21.75" customHeight="1">
      <c r="B20" s="614"/>
      <c r="C20" s="481"/>
      <c r="D20" s="483"/>
      <c r="E20" s="125">
        <f t="shared" si="0"/>
        <v>14</v>
      </c>
      <c r="F20" s="1">
        <f>'Исходные данные'!B19</f>
        <v>0</v>
      </c>
      <c r="G20" s="1">
        <f>'Исходные данные'!C19</f>
        <v>0</v>
      </c>
      <c r="H20" s="1">
        <f>'Исходные данные'!D19</f>
        <v>0</v>
      </c>
      <c r="I20" s="291">
        <f>IF('Исходные данные'!O19="---",IF('Исходные данные'!P19="---",IF('Исходные данные'!Q19="---",0,"ВГ050.00.00.001"),"ВМ0114.01.00.001"),"ВМ0113.01.00.001")</f>
        <v>0</v>
      </c>
      <c r="J20" s="292" t="str">
        <f>'Труматик гермики'!D20</f>
        <v>---</v>
      </c>
      <c r="K20" s="289"/>
      <c r="L20" s="289" t="str">
        <f>'Труматик гермики'!E20</f>
        <v>--</v>
      </c>
      <c r="M20" s="289">
        <f>'Исходные данные'!K19</f>
        <v>0</v>
      </c>
      <c r="N20" s="293">
        <f>IF('Исходные данные'!O19="---",IF('Исходные данные'!P19="---",IF('Исходные данные'!Q19="---",0,"ВГ050.00.00.002"),"ВМ0114.01.00.002"),"ВМ 0113.01.00.002")</f>
        <v>0</v>
      </c>
      <c r="O20" s="289">
        <f>'Исходные данные'!G19</f>
        <v>0</v>
      </c>
      <c r="P20" s="289" t="str">
        <f>'Труматик гермики'!E20</f>
        <v>--</v>
      </c>
      <c r="Q20" s="289" t="str">
        <f>'Труматик гермики'!J20</f>
        <v>---</v>
      </c>
      <c r="R20" s="292">
        <f>'Исходные данные'!H19</f>
        <v>0</v>
      </c>
      <c r="S20" s="299" t="str">
        <f>IF(G20="Регуляр",'Исходные данные'!G19-4,"---")</f>
        <v>---</v>
      </c>
      <c r="T20" s="299" t="str">
        <f>IF(S20="---","---",'Исходные данные'!K19)</f>
        <v>---</v>
      </c>
      <c r="U20" s="300" t="str">
        <f>IF(S20="---","---",'Труматик гермики'!Q20)</f>
        <v>---</v>
      </c>
      <c r="V20" s="300" t="str">
        <f>IF(S20="---","---",'Труматик гермики'!R20)</f>
        <v>---</v>
      </c>
      <c r="W20" s="203" t="str">
        <f>IF('Исходные данные'!M19=1,"Комплект кожухов","---")</f>
        <v>---</v>
      </c>
      <c r="X20" s="200"/>
      <c r="Y20" s="200" t="str">
        <f>'Труматик гермики'!J20</f>
        <v>---</v>
      </c>
      <c r="Z20" s="200">
        <f>IF(G20="Гермик ",'Исходные данные'!G19-3,'Исходные данные'!G19-5.5)</f>
        <v>-5.5</v>
      </c>
      <c r="AA20" s="200" t="str">
        <f>'Ножницы упор'!F20</f>
        <v>---</v>
      </c>
      <c r="AB20" s="200">
        <f>IF('Исходные данные'!M19=1,'Исходные данные'!H19*2,IF('Исходные данные'!M19=2,'Исходные данные'!H19*2,IF('Исходные данные'!M19=3,'Исходные данные'!H19*2,IF('Исходные данные'!M19=4,"---",))))</f>
        <v>0</v>
      </c>
      <c r="AC20" s="200" t="str">
        <f>'Ножницы упор'!I20</f>
        <v>---</v>
      </c>
      <c r="AD20" s="276">
        <f>IF('Исходные данные'!L19=3,'Исходные данные'!G19-5.5,0)</f>
        <v>0</v>
      </c>
      <c r="AE20" s="201">
        <v>0</v>
      </c>
      <c r="AF20" s="508"/>
      <c r="AG20" s="281"/>
      <c r="AH20" s="618"/>
    </row>
    <row r="21" spans="1:34" ht="21.75" customHeight="1">
      <c r="B21" s="614"/>
      <c r="C21" s="481"/>
      <c r="D21" s="483"/>
      <c r="E21" s="125">
        <f t="shared" si="0"/>
        <v>15</v>
      </c>
      <c r="F21" s="1">
        <f>'Исходные данные'!B20</f>
        <v>0</v>
      </c>
      <c r="G21" s="1">
        <f>'Исходные данные'!C20</f>
        <v>0</v>
      </c>
      <c r="H21" s="1">
        <f>'Исходные данные'!D20</f>
        <v>0</v>
      </c>
      <c r="I21" s="291">
        <f>IF('Исходные данные'!O20="---",IF('Исходные данные'!P20="---",IF('Исходные данные'!Q20="---",0,"ВГ050.00.00.001"),"ВМ0114.01.00.001"),"ВМ0113.01.00.001")</f>
        <v>0</v>
      </c>
      <c r="J21" s="292" t="str">
        <f>'Труматик гермики'!D21</f>
        <v>---</v>
      </c>
      <c r="K21" s="289"/>
      <c r="L21" s="289" t="str">
        <f>'Труматик гермики'!E21</f>
        <v>--</v>
      </c>
      <c r="M21" s="289">
        <f>'Исходные данные'!K20</f>
        <v>0</v>
      </c>
      <c r="N21" s="293">
        <f>IF('Исходные данные'!O20="---",IF('Исходные данные'!P20="---",IF('Исходные данные'!Q20="---",0,"ВГ050.00.00.002"),"ВМ0114.01.00.002"),"ВМ 0113.01.00.002")</f>
        <v>0</v>
      </c>
      <c r="O21" s="289">
        <f>'Исходные данные'!G20</f>
        <v>0</v>
      </c>
      <c r="P21" s="289" t="str">
        <f>'Труматик гермики'!E21</f>
        <v>--</v>
      </c>
      <c r="Q21" s="289" t="str">
        <f>'Труматик гермики'!J21</f>
        <v>---</v>
      </c>
      <c r="R21" s="292">
        <f>'Исходные данные'!H20</f>
        <v>0</v>
      </c>
      <c r="S21" s="299" t="str">
        <f>IF(G21="Регуляр",'Исходные данные'!G20-4,"---")</f>
        <v>---</v>
      </c>
      <c r="T21" s="299" t="str">
        <f>IF(S21="---","---",'Исходные данные'!K20)</f>
        <v>---</v>
      </c>
      <c r="U21" s="300" t="str">
        <f>IF(S21="---","---",'Труматик гермики'!Q21)</f>
        <v>---</v>
      </c>
      <c r="V21" s="300" t="str">
        <f>IF(S21="---","---",'Труматик гермики'!R21)</f>
        <v>---</v>
      </c>
      <c r="W21" s="203" t="str">
        <f>IF('Исходные данные'!M20=1,"Комплект кожухов","---")</f>
        <v>---</v>
      </c>
      <c r="X21" s="200"/>
      <c r="Y21" s="200" t="str">
        <f>'Труматик гермики'!J21</f>
        <v>---</v>
      </c>
      <c r="Z21" s="200">
        <f>IF(G21="Гермик ",'Исходные данные'!G20-3,'Исходные данные'!G20-5.5)</f>
        <v>-5.5</v>
      </c>
      <c r="AA21" s="200" t="str">
        <f>'Ножницы упор'!F21</f>
        <v>---</v>
      </c>
      <c r="AB21" s="200">
        <f>IF('Исходные данные'!M20=1,'Исходные данные'!H20*2,IF('Исходные данные'!M20=2,'Исходные данные'!H20*2,IF('Исходные данные'!M20=3,'Исходные данные'!H20*2,IF('Исходные данные'!M20=4,"---",))))</f>
        <v>0</v>
      </c>
      <c r="AC21" s="200" t="str">
        <f>'Ножницы упор'!I21</f>
        <v>---</v>
      </c>
      <c r="AD21" s="276">
        <f>IF('Исходные данные'!L20=3,'Исходные данные'!G20-5.5,0)</f>
        <v>0</v>
      </c>
      <c r="AE21" s="201">
        <v>0</v>
      </c>
      <c r="AF21" s="508"/>
      <c r="AG21" s="281"/>
      <c r="AH21" s="618"/>
    </row>
    <row r="22" spans="1:34" ht="21.75" customHeight="1">
      <c r="B22" s="614"/>
      <c r="C22" s="481"/>
      <c r="D22" s="483"/>
      <c r="E22" s="125">
        <f t="shared" si="0"/>
        <v>16</v>
      </c>
      <c r="F22" s="1">
        <f>'Исходные данные'!B21</f>
        <v>0</v>
      </c>
      <c r="G22" s="1">
        <f>'Исходные данные'!C21</f>
        <v>0</v>
      </c>
      <c r="H22" s="1">
        <f>'Исходные данные'!D21</f>
        <v>0</v>
      </c>
      <c r="I22" s="291">
        <f>IF('Исходные данные'!O21="---",IF('Исходные данные'!P21="---",IF('Исходные данные'!Q21="---",0,"ВГ050.00.00.001"),"ВМ0114.01.00.001"),"ВМ0113.01.00.001")</f>
        <v>0</v>
      </c>
      <c r="J22" s="292" t="str">
        <f>'Труматик гермики'!D22</f>
        <v>---</v>
      </c>
      <c r="K22" s="289"/>
      <c r="L22" s="289" t="str">
        <f>'Труматик гермики'!E22</f>
        <v>--</v>
      </c>
      <c r="M22" s="289">
        <f>'Исходные данные'!K21</f>
        <v>0</v>
      </c>
      <c r="N22" s="293">
        <f>IF('Исходные данные'!O21="---",IF('Исходные данные'!P21="---",IF('Исходные данные'!Q21="---",0,"ВГ050.00.00.002"),"ВМ0114.01.00.002"),"ВМ 0113.01.00.002")</f>
        <v>0</v>
      </c>
      <c r="O22" s="289">
        <f>'Исходные данные'!G21</f>
        <v>0</v>
      </c>
      <c r="P22" s="289" t="str">
        <f>'Труматик гермики'!E22</f>
        <v>--</v>
      </c>
      <c r="Q22" s="289" t="str">
        <f>'Труматик гермики'!J22</f>
        <v>---</v>
      </c>
      <c r="R22" s="292">
        <f>'Исходные данные'!H21</f>
        <v>0</v>
      </c>
      <c r="S22" s="299" t="str">
        <f>IF(G22="Регуляр",'Исходные данные'!G21-4,"---")</f>
        <v>---</v>
      </c>
      <c r="T22" s="299" t="str">
        <f>IF(S22="---","---",'Исходные данные'!K21)</f>
        <v>---</v>
      </c>
      <c r="U22" s="300" t="str">
        <f>IF(S22="---","---",'Труматик гермики'!Q22)</f>
        <v>---</v>
      </c>
      <c r="V22" s="300" t="str">
        <f>IF(S22="---","---",'Труматик гермики'!R22)</f>
        <v>---</v>
      </c>
      <c r="W22" s="203" t="str">
        <f>IF('Исходные данные'!M21=1,"Комплект кожухов","---")</f>
        <v>---</v>
      </c>
      <c r="X22" s="200"/>
      <c r="Y22" s="200" t="str">
        <f>'Труматик гермики'!J22</f>
        <v>---</v>
      </c>
      <c r="Z22" s="200">
        <f>IF(G22="Гермик ",'Исходные данные'!G21-3,'Исходные данные'!G21-5.5)</f>
        <v>-5.5</v>
      </c>
      <c r="AA22" s="200" t="str">
        <f>'Ножницы упор'!F22</f>
        <v>---</v>
      </c>
      <c r="AB22" s="200">
        <f>IF('Исходные данные'!M21=1,'Исходные данные'!H21*2,IF('Исходные данные'!M21=2,'Исходные данные'!H21*2,IF('Исходные данные'!M21=3,'Исходные данные'!H21*2,IF('Исходные данные'!M21=4,"---",))))</f>
        <v>0</v>
      </c>
      <c r="AC22" s="200" t="str">
        <f>'Ножницы упор'!I22</f>
        <v>---</v>
      </c>
      <c r="AD22" s="276">
        <f>IF('Исходные данные'!L21=3,'Исходные данные'!G21-5.5,0)</f>
        <v>0</v>
      </c>
      <c r="AE22" s="201">
        <v>0</v>
      </c>
      <c r="AF22" s="508"/>
      <c r="AG22" s="281"/>
      <c r="AH22" s="618"/>
    </row>
    <row r="23" spans="1:34" ht="21.75" customHeight="1">
      <c r="B23" s="614"/>
      <c r="C23" s="481"/>
      <c r="D23" s="483"/>
      <c r="E23" s="125">
        <f t="shared" si="0"/>
        <v>17</v>
      </c>
      <c r="F23" s="1">
        <f>'Исходные данные'!B22</f>
        <v>0</v>
      </c>
      <c r="G23" s="1">
        <f>'Исходные данные'!C22</f>
        <v>0</v>
      </c>
      <c r="H23" s="1">
        <f>'Исходные данные'!D22</f>
        <v>0</v>
      </c>
      <c r="I23" s="291">
        <f>IF('Исходные данные'!O22="---",IF('Исходные данные'!P22="---",IF('Исходные данные'!Q22="---",0,"ВГ050.00.00.001"),"ВМ0114.01.00.001"),"ВМ0113.01.00.001")</f>
        <v>0</v>
      </c>
      <c r="J23" s="292" t="str">
        <f>'Труматик гермики'!D23</f>
        <v>---</v>
      </c>
      <c r="K23" s="289"/>
      <c r="L23" s="289" t="str">
        <f>'Труматик гермики'!E23</f>
        <v>--</v>
      </c>
      <c r="M23" s="289">
        <f>'Исходные данные'!K22</f>
        <v>0</v>
      </c>
      <c r="N23" s="293">
        <f>IF('Исходные данные'!O22="---",IF('Исходные данные'!P22="---",IF('Исходные данные'!Q22="---",0,"ВГ050.00.00.002"),"ВМ0114.01.00.002"),"ВМ 0113.01.00.002")</f>
        <v>0</v>
      </c>
      <c r="O23" s="289">
        <f>'Исходные данные'!G22</f>
        <v>0</v>
      </c>
      <c r="P23" s="289" t="str">
        <f>'Труматик гермики'!E23</f>
        <v>--</v>
      </c>
      <c r="Q23" s="289" t="str">
        <f>'Труматик гермики'!J23</f>
        <v>---</v>
      </c>
      <c r="R23" s="292">
        <f>'Исходные данные'!H22</f>
        <v>0</v>
      </c>
      <c r="S23" s="299" t="str">
        <f>IF(G23="Регуляр",'Исходные данные'!G22-4,"---")</f>
        <v>---</v>
      </c>
      <c r="T23" s="299" t="str">
        <f>IF(S23="---","---",'Исходные данные'!K22)</f>
        <v>---</v>
      </c>
      <c r="U23" s="300" t="str">
        <f>IF(S23="---","---",'Труматик гермики'!Q23)</f>
        <v>---</v>
      </c>
      <c r="V23" s="300" t="str">
        <f>IF(S23="---","---",'Труматик гермики'!R23)</f>
        <v>---</v>
      </c>
      <c r="W23" s="203" t="str">
        <f>IF('Исходные данные'!M22=1,"Комплект кожухов","---")</f>
        <v>---</v>
      </c>
      <c r="X23" s="200"/>
      <c r="Y23" s="200" t="str">
        <f>'Труматик гермики'!J23</f>
        <v>---</v>
      </c>
      <c r="Z23" s="200">
        <f>IF(G23="Гермик ",'Исходные данные'!G22-3,'Исходные данные'!G22-5.5)</f>
        <v>-5.5</v>
      </c>
      <c r="AA23" s="200" t="str">
        <f>'Ножницы упор'!F23</f>
        <v>---</v>
      </c>
      <c r="AB23" s="200">
        <f>IF('Исходные данные'!M22=1,'Исходные данные'!H22*2,IF('Исходные данные'!M22=2,'Исходные данные'!H22*2,IF('Исходные данные'!M22=3,'Исходные данные'!H22*2,IF('Исходные данные'!M22=4,"---",))))</f>
        <v>0</v>
      </c>
      <c r="AC23" s="200" t="str">
        <f>'Ножницы упор'!I23</f>
        <v>---</v>
      </c>
      <c r="AD23" s="276">
        <f>IF('Исходные данные'!L22=3,'Исходные данные'!G22-5.5,0)</f>
        <v>0</v>
      </c>
      <c r="AE23" s="201">
        <v>0</v>
      </c>
      <c r="AF23" s="508"/>
      <c r="AG23" s="281"/>
      <c r="AH23" s="618"/>
    </row>
    <row r="24" spans="1:34" ht="21.75" customHeight="1">
      <c r="B24" s="614"/>
      <c r="C24" s="481"/>
      <c r="D24" s="483"/>
      <c r="E24" s="125">
        <f t="shared" si="0"/>
        <v>18</v>
      </c>
      <c r="F24" s="1">
        <f>'Исходные данные'!B23</f>
        <v>0</v>
      </c>
      <c r="G24" s="1">
        <f>'Исходные данные'!C23</f>
        <v>0</v>
      </c>
      <c r="H24" s="1">
        <f>'Исходные данные'!D23</f>
        <v>0</v>
      </c>
      <c r="I24" s="291">
        <f>IF('Исходные данные'!O23="---",IF('Исходные данные'!P23="---",IF('Исходные данные'!Q23="---",0,"ВГ050.00.00.001"),"ВМ0114.01.00.001"),"ВМ0113.01.00.001")</f>
        <v>0</v>
      </c>
      <c r="J24" s="292" t="str">
        <f>'Труматик гермики'!D24</f>
        <v>---</v>
      </c>
      <c r="K24" s="289"/>
      <c r="L24" s="289" t="str">
        <f>'Труматик гермики'!E24</f>
        <v>--</v>
      </c>
      <c r="M24" s="289">
        <f>'Исходные данные'!K23</f>
        <v>0</v>
      </c>
      <c r="N24" s="293">
        <f>IF('Исходные данные'!O23="---",IF('Исходные данные'!P23="---",IF('Исходные данные'!Q23="---",0,"ВГ050.00.00.002"),"ВМ0114.01.00.002"),"ВМ 0113.01.00.002")</f>
        <v>0</v>
      </c>
      <c r="O24" s="289">
        <f>'Исходные данные'!G23</f>
        <v>0</v>
      </c>
      <c r="P24" s="289" t="str">
        <f>'Труматик гермики'!E24</f>
        <v>--</v>
      </c>
      <c r="Q24" s="289" t="str">
        <f>'Труматик гермики'!J24</f>
        <v>---</v>
      </c>
      <c r="R24" s="292">
        <f>'Исходные данные'!H23</f>
        <v>0</v>
      </c>
      <c r="S24" s="299" t="str">
        <f>IF(G24="Регуляр",'Исходные данные'!G23-4,"---")</f>
        <v>---</v>
      </c>
      <c r="T24" s="299" t="str">
        <f>IF(S24="---","---",'Исходные данные'!K23)</f>
        <v>---</v>
      </c>
      <c r="U24" s="300" t="str">
        <f>IF(S24="---","---",'Труматик гермики'!Q24)</f>
        <v>---</v>
      </c>
      <c r="V24" s="300" t="str">
        <f>IF(S24="---","---",'Труматик гермики'!R24)</f>
        <v>---</v>
      </c>
      <c r="W24" s="203" t="str">
        <f>IF('Исходные данные'!M23=1,"Комплект кожухов","---")</f>
        <v>---</v>
      </c>
      <c r="X24" s="200"/>
      <c r="Y24" s="200" t="str">
        <f>'Труматик гермики'!J24</f>
        <v>---</v>
      </c>
      <c r="Z24" s="200">
        <f>IF(G24="Гермик ",'Исходные данные'!G23-3,'Исходные данные'!G23-5.5)</f>
        <v>-5.5</v>
      </c>
      <c r="AA24" s="200" t="str">
        <f>'Ножницы упор'!F24</f>
        <v>---</v>
      </c>
      <c r="AB24" s="200">
        <f>IF('Исходные данные'!M23=1,'Исходные данные'!H23*2,IF('Исходные данные'!M23=2,'Исходные данные'!H23*2,IF('Исходные данные'!M23=3,'Исходные данные'!H23*2,IF('Исходные данные'!M23=4,"---",))))</f>
        <v>0</v>
      </c>
      <c r="AC24" s="200" t="str">
        <f>'Ножницы упор'!I24</f>
        <v>---</v>
      </c>
      <c r="AD24" s="276">
        <f>IF('Исходные данные'!L23=3,'Исходные данные'!G23-5.5,0)</f>
        <v>0</v>
      </c>
      <c r="AE24" s="201">
        <v>0</v>
      </c>
      <c r="AG24" s="281"/>
      <c r="AH24" s="618"/>
    </row>
    <row r="25" spans="1:34" ht="21.75" customHeight="1">
      <c r="B25" s="614"/>
      <c r="C25" s="481"/>
      <c r="D25" s="483"/>
      <c r="E25" s="125">
        <f>E24+1</f>
        <v>19</v>
      </c>
      <c r="F25" s="1">
        <f>'Исходные данные'!B24</f>
        <v>0</v>
      </c>
      <c r="G25" s="1">
        <f>'Исходные данные'!C24</f>
        <v>0</v>
      </c>
      <c r="H25" s="1">
        <f>'Исходные данные'!D24</f>
        <v>0</v>
      </c>
      <c r="I25" s="291">
        <f>IF('Исходные данные'!O24="---",IF('Исходные данные'!P24="---",IF('Исходные данные'!Q24="---",0,"ВГ050.00.00.001"),"ВМ0114.01.00.001"),"ВМ0113.01.00.001")</f>
        <v>0</v>
      </c>
      <c r="J25" s="292" t="str">
        <f>'Труматик гермики'!D25</f>
        <v>---</v>
      </c>
      <c r="K25" s="289"/>
      <c r="L25" s="289" t="str">
        <f>'Труматик гермики'!E25</f>
        <v>--</v>
      </c>
      <c r="M25" s="289">
        <f>'Исходные данные'!K24</f>
        <v>0</v>
      </c>
      <c r="N25" s="293">
        <f>IF('Исходные данные'!O24="---",IF('Исходные данные'!P24="---",IF('Исходные данные'!Q24="---",0,"ВГ050.00.00.002"),"ВМ0114.01.00.002"),"ВМ 0113.01.00.002")</f>
        <v>0</v>
      </c>
      <c r="O25" s="289">
        <f>'Исходные данные'!G24</f>
        <v>0</v>
      </c>
      <c r="P25" s="289" t="str">
        <f>'Труматик гермики'!E25</f>
        <v>--</v>
      </c>
      <c r="Q25" s="289" t="str">
        <f>'Труматик гермики'!J25</f>
        <v>---</v>
      </c>
      <c r="R25" s="292">
        <f>'Исходные данные'!H24</f>
        <v>0</v>
      </c>
      <c r="S25" s="299" t="str">
        <f>IF(G25="Регуляр",'Исходные данные'!G24-4,"---")</f>
        <v>---</v>
      </c>
      <c r="T25" s="299" t="str">
        <f>IF(S25="---","---",'Исходные данные'!K24)</f>
        <v>---</v>
      </c>
      <c r="U25" s="300" t="str">
        <f>IF(S25="---","---",'Труматик гермики'!Q25)</f>
        <v>---</v>
      </c>
      <c r="V25" s="300" t="str">
        <f>IF(S25="---","---",'Труматик гермики'!R25)</f>
        <v>---</v>
      </c>
      <c r="W25" s="203" t="str">
        <f>IF('Исходные данные'!M24=1,"Комплект кожухов","---")</f>
        <v>---</v>
      </c>
      <c r="X25" s="200"/>
      <c r="Y25" s="200" t="str">
        <f>'Труматик гермики'!J25</f>
        <v>---</v>
      </c>
      <c r="Z25" s="200">
        <f>IF(G25="Гермик ",'Исходные данные'!G24-3,'Исходные данные'!G24-5.5)</f>
        <v>-5.5</v>
      </c>
      <c r="AA25" s="200" t="str">
        <f>'Ножницы упор'!F25</f>
        <v>---</v>
      </c>
      <c r="AB25" s="200">
        <f>IF('Исходные данные'!M24=1,'Исходные данные'!H24*2,IF('Исходные данные'!M24=2,'Исходные данные'!H24*2,IF('Исходные данные'!M24=3,'Исходные данные'!H24*2,IF('Исходные данные'!M24=4,"---",))))</f>
        <v>0</v>
      </c>
      <c r="AC25" s="200" t="str">
        <f>'Ножницы упор'!I25</f>
        <v>---</v>
      </c>
      <c r="AD25" s="276">
        <f>IF('Исходные данные'!L24=3,'Исходные данные'!G24-5.5,0)</f>
        <v>0</v>
      </c>
      <c r="AE25" s="201">
        <v>0</v>
      </c>
    </row>
    <row r="26" spans="1:34" ht="21.75" customHeight="1">
      <c r="A26" s="482" t="s">
        <v>242</v>
      </c>
      <c r="B26" s="614"/>
      <c r="C26" s="481"/>
      <c r="D26" s="483"/>
      <c r="E26" s="125">
        <f>E25+1</f>
        <v>20</v>
      </c>
      <c r="F26" s="1">
        <f>'Исходные данные'!B25</f>
        <v>0</v>
      </c>
      <c r="G26" s="1">
        <f>'Исходные данные'!C25</f>
        <v>0</v>
      </c>
      <c r="H26" s="1">
        <f>'Исходные данные'!D25</f>
        <v>0</v>
      </c>
      <c r="I26" s="291">
        <f>IF('Исходные данные'!O25="---",IF('Исходные данные'!P25="---",IF('Исходные данные'!Q25="---",0,"ВГ050.00.00.001"),"ВМ0114.01.00.001"),"ВМ0113.01.00.001")</f>
        <v>0</v>
      </c>
      <c r="J26" s="292" t="str">
        <f>'Труматик гермики'!D26</f>
        <v>---</v>
      </c>
      <c r="K26" s="289"/>
      <c r="L26" s="289" t="str">
        <f>'Труматик гермики'!E26</f>
        <v>--</v>
      </c>
      <c r="M26" s="289">
        <f>'Исходные данные'!K25</f>
        <v>0</v>
      </c>
      <c r="N26" s="293">
        <f>IF('Исходные данные'!O25="---",IF('Исходные данные'!P25="---",IF('Исходные данные'!Q25="---",0,"ВГ050.00.00.002"),"ВМ0114.01.00.002"),"ВМ 0113.01.00.002")</f>
        <v>0</v>
      </c>
      <c r="O26" s="289">
        <f>'Исходные данные'!G25</f>
        <v>0</v>
      </c>
      <c r="P26" s="289" t="str">
        <f>'Труматик гермики'!E26</f>
        <v>--</v>
      </c>
      <c r="Q26" s="289" t="str">
        <f>'Труматик гермики'!J26</f>
        <v>---</v>
      </c>
      <c r="R26" s="292">
        <f>'Исходные данные'!H25</f>
        <v>0</v>
      </c>
      <c r="S26" s="299" t="str">
        <f>IF(G26="Регуляр",'Исходные данные'!G25-4,"---")</f>
        <v>---</v>
      </c>
      <c r="T26" s="299" t="str">
        <f>IF(S26="---","---",'Исходные данные'!K25)</f>
        <v>---</v>
      </c>
      <c r="U26" s="300" t="str">
        <f>IF(S26="---","---",'Труматик гермики'!Q26)</f>
        <v>---</v>
      </c>
      <c r="V26" s="300" t="str">
        <f>IF(S26="---","---",'Труматик гермики'!R26)</f>
        <v>---</v>
      </c>
      <c r="W26" s="203" t="str">
        <f>IF('Исходные данные'!M25=1,"Комплект кожухов","---")</f>
        <v>---</v>
      </c>
      <c r="X26" s="200"/>
      <c r="Y26" s="200" t="str">
        <f>'Труматик гермики'!J26</f>
        <v>---</v>
      </c>
      <c r="Z26" s="200">
        <f>IF(G26="Гермик ",'Исходные данные'!G25-3,'Исходные данные'!G25-5.5)</f>
        <v>-5.5</v>
      </c>
      <c r="AA26" s="200" t="str">
        <f>'Ножницы упор'!F26</f>
        <v>---</v>
      </c>
      <c r="AB26" s="200">
        <f>IF('Исходные данные'!M25=1,'Исходные данные'!H25*2,IF('Исходные данные'!M25=2,'Исходные данные'!H25*2,IF('Исходные данные'!M25=3,'Исходные данные'!H25*2,IF('Исходные данные'!M25=4,"---",))))</f>
        <v>0</v>
      </c>
      <c r="AC26" s="200" t="str">
        <f>'Ножницы упор'!I26</f>
        <v>---</v>
      </c>
      <c r="AD26" s="276">
        <f>IF('Исходные данные'!L25=3,'Исходные данные'!G25-5.5,0)</f>
        <v>0</v>
      </c>
      <c r="AE26" s="201">
        <v>0</v>
      </c>
    </row>
    <row r="27" spans="1:34" ht="21.75" customHeight="1" thickBot="1">
      <c r="A27" s="482"/>
      <c r="B27" s="614"/>
      <c r="C27" s="481"/>
      <c r="D27" s="483"/>
      <c r="E27" s="126">
        <f>E26+1</f>
        <v>21</v>
      </c>
      <c r="F27" s="127">
        <f>'Исходные данные'!B26</f>
        <v>0</v>
      </c>
      <c r="G27" s="127">
        <f>'Исходные данные'!C26</f>
        <v>0</v>
      </c>
      <c r="H27" s="127">
        <f>'Исходные данные'!D26</f>
        <v>0</v>
      </c>
      <c r="I27" s="294">
        <f>IF('Исходные данные'!O26="---",IF('Исходные данные'!P26="---",IF('Исходные данные'!Q26="---",0,"ВГ050.00.00.001"),"ВМ0114.01.00.001"),"ВМ0113.01.00.001")</f>
        <v>0</v>
      </c>
      <c r="J27" s="295" t="str">
        <f>'Труматик гермики'!D27</f>
        <v>---</v>
      </c>
      <c r="K27" s="296"/>
      <c r="L27" s="289" t="str">
        <f>'Труматик гермики'!E27</f>
        <v>--</v>
      </c>
      <c r="M27" s="289">
        <f>'Исходные данные'!K26</f>
        <v>0</v>
      </c>
      <c r="N27" s="297">
        <f>IF('Исходные данные'!O26="---",IF('Исходные данные'!P26="---",IF('Исходные данные'!Q26="---",0,"ВГ050.00.00.002"),"ВМ0114.01.00.002"),"ВМ 0113.01.00.002")</f>
        <v>0</v>
      </c>
      <c r="O27" s="289">
        <f>'Исходные данные'!G26</f>
        <v>0</v>
      </c>
      <c r="P27" s="289" t="str">
        <f>'Труматик гермики'!E27</f>
        <v>--</v>
      </c>
      <c r="Q27" s="289" t="str">
        <f>'Труматик гермики'!J27</f>
        <v>---</v>
      </c>
      <c r="R27" s="295">
        <f>'Исходные данные'!H26</f>
        <v>0</v>
      </c>
      <c r="S27" s="299" t="str">
        <f>IF(G27="Регуляр",'Исходные данные'!G26-4,"---")</f>
        <v>---</v>
      </c>
      <c r="T27" s="299" t="str">
        <f>IF(S27="---","---",'Исходные данные'!K26)</f>
        <v>---</v>
      </c>
      <c r="U27" s="300" t="str">
        <f>IF(S27="---","---",'Труматик гермики'!Q27)</f>
        <v>---</v>
      </c>
      <c r="V27" s="300" t="str">
        <f>IF(S27="---","---",'Труматик гермики'!R27)</f>
        <v>---</v>
      </c>
      <c r="W27" s="204" t="str">
        <f>IF('Исходные данные'!M26=1,"Комплект кожухов","---")</f>
        <v>---</v>
      </c>
      <c r="X27" s="303"/>
      <c r="Y27" s="200" t="str">
        <f>'Труматик гермики'!J27</f>
        <v>---</v>
      </c>
      <c r="Z27" s="205">
        <f>IF(G27="Гермик ",'Исходные данные'!G26-3,'Исходные данные'!G26-5.5)</f>
        <v>-5.5</v>
      </c>
      <c r="AA27" s="200" t="str">
        <f>'Ножницы упор'!F27</f>
        <v>---</v>
      </c>
      <c r="AB27" s="205">
        <f>IF('Исходные данные'!M26=1,'Исходные данные'!H26*2,IF('Исходные данные'!M26=2,'Исходные данные'!H26*2,IF('Исходные данные'!M26=3,'Исходные данные'!H26*2,IF('Исходные данные'!M26=4,"---",))))</f>
        <v>0</v>
      </c>
      <c r="AC27" s="200" t="str">
        <f>'Ножницы упор'!I27</f>
        <v>---</v>
      </c>
      <c r="AD27" s="276">
        <f>IF('Исходные данные'!L26=3,'Исходные данные'!G26-5.5,0)</f>
        <v>0</v>
      </c>
      <c r="AE27" s="201">
        <v>0</v>
      </c>
    </row>
    <row r="28" spans="1:34" ht="19.5" thickBot="1">
      <c r="A28" s="482"/>
      <c r="B28" s="614"/>
      <c r="C28" s="481"/>
      <c r="D28" s="483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34" ht="19.5" customHeight="1" thickBot="1">
      <c r="A29" s="482"/>
      <c r="B29" s="614"/>
      <c r="C29" s="481"/>
      <c r="D29" s="483"/>
      <c r="E29" s="613" t="s">
        <v>233</v>
      </c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13"/>
      <c r="Q29" s="613"/>
      <c r="R29" s="573" t="s">
        <v>238</v>
      </c>
      <c r="S29" s="573"/>
      <c r="T29" s="613" t="s">
        <v>234</v>
      </c>
      <c r="U29" s="613"/>
      <c r="V29" s="613" t="s">
        <v>38</v>
      </c>
      <c r="W29" s="613"/>
      <c r="X29" s="277"/>
      <c r="Y29" s="613" t="s">
        <v>235</v>
      </c>
      <c r="Z29" s="613"/>
      <c r="AA29" s="279"/>
      <c r="AB29" s="167"/>
    </row>
    <row r="30" spans="1:34" ht="48" customHeight="1">
      <c r="A30" s="482"/>
      <c r="B30" s="614"/>
      <c r="C30" s="481"/>
      <c r="D30" s="483"/>
      <c r="E30" s="616"/>
      <c r="F30" s="617"/>
      <c r="G30" s="617"/>
      <c r="H30" s="617"/>
      <c r="I30" s="617"/>
      <c r="J30" s="617"/>
      <c r="K30" s="617"/>
      <c r="L30" s="617"/>
      <c r="M30" s="617"/>
      <c r="N30" s="617"/>
      <c r="O30" s="617"/>
      <c r="P30" s="617"/>
      <c r="Q30" s="617"/>
      <c r="R30" s="596"/>
      <c r="S30" s="597"/>
      <c r="T30" s="596"/>
      <c r="U30" s="597"/>
      <c r="V30" s="608"/>
      <c r="W30" s="608"/>
      <c r="X30" s="278"/>
      <c r="Y30" s="278"/>
      <c r="Z30" s="207"/>
      <c r="AA30" s="167"/>
      <c r="AB30" s="167"/>
    </row>
    <row r="31" spans="1:34" ht="46.5" customHeight="1">
      <c r="A31" s="482"/>
      <c r="B31" s="614"/>
      <c r="C31" s="481"/>
      <c r="D31" s="483"/>
      <c r="E31" s="598"/>
      <c r="F31" s="599"/>
      <c r="G31" s="599"/>
      <c r="H31" s="599"/>
      <c r="I31" s="599"/>
      <c r="J31" s="599"/>
      <c r="K31" s="599"/>
      <c r="L31" s="599"/>
      <c r="M31" s="599"/>
      <c r="N31" s="599"/>
      <c r="O31" s="599"/>
      <c r="P31" s="599"/>
      <c r="Q31" s="599"/>
      <c r="R31" s="586"/>
      <c r="S31" s="587"/>
      <c r="T31" s="586"/>
      <c r="U31" s="587"/>
      <c r="V31" s="456"/>
      <c r="W31" s="456"/>
      <c r="X31" s="276"/>
      <c r="Y31" s="276"/>
      <c r="Z31" s="209"/>
      <c r="AA31" s="167"/>
      <c r="AB31" s="275"/>
    </row>
    <row r="32" spans="1:34" ht="43.5" customHeight="1">
      <c r="A32" s="482"/>
      <c r="B32" s="614"/>
      <c r="C32" s="481"/>
      <c r="D32" s="483"/>
      <c r="E32" s="598"/>
      <c r="F32" s="599"/>
      <c r="G32" s="599"/>
      <c r="H32" s="599"/>
      <c r="I32" s="599"/>
      <c r="J32" s="599"/>
      <c r="K32" s="599"/>
      <c r="L32" s="599"/>
      <c r="M32" s="599"/>
      <c r="N32" s="599"/>
      <c r="O32" s="599"/>
      <c r="P32" s="599"/>
      <c r="Q32" s="599"/>
      <c r="R32" s="586"/>
      <c r="S32" s="587"/>
      <c r="T32" s="586"/>
      <c r="U32" s="587"/>
      <c r="V32" s="456"/>
      <c r="W32" s="456"/>
      <c r="X32" s="276"/>
      <c r="Y32" s="276"/>
      <c r="Z32" s="209"/>
      <c r="AA32" s="167"/>
      <c r="AB32" s="275"/>
    </row>
    <row r="33" spans="1:29" ht="42.75" customHeight="1">
      <c r="A33" s="482"/>
      <c r="B33" s="614"/>
      <c r="C33" s="481"/>
      <c r="D33" s="483"/>
      <c r="E33" s="598"/>
      <c r="F33" s="599"/>
      <c r="G33" s="599"/>
      <c r="H33" s="599"/>
      <c r="I33" s="599"/>
      <c r="J33" s="599"/>
      <c r="K33" s="599"/>
      <c r="L33" s="599"/>
      <c r="M33" s="599"/>
      <c r="N33" s="599"/>
      <c r="O33" s="599"/>
      <c r="P33" s="599"/>
      <c r="Q33" s="599"/>
      <c r="R33" s="586"/>
      <c r="S33" s="587"/>
      <c r="T33" s="586"/>
      <c r="U33" s="587"/>
      <c r="V33" s="456"/>
      <c r="W33" s="456"/>
      <c r="X33" s="276"/>
      <c r="Y33" s="276"/>
      <c r="Z33" s="209"/>
      <c r="AA33" s="167"/>
      <c r="AB33" s="275"/>
    </row>
    <row r="34" spans="1:29" ht="44.25" customHeight="1">
      <c r="A34" s="482"/>
      <c r="B34" s="614"/>
      <c r="C34" s="481"/>
      <c r="D34" s="483"/>
      <c r="E34" s="598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86"/>
      <c r="S34" s="587"/>
      <c r="T34" s="586"/>
      <c r="U34" s="587"/>
      <c r="V34" s="456"/>
      <c r="W34" s="456"/>
      <c r="X34" s="276"/>
      <c r="Y34" s="276"/>
      <c r="Z34" s="209"/>
      <c r="AA34" s="167"/>
      <c r="AB34" s="275"/>
    </row>
    <row r="35" spans="1:29" ht="45.75" customHeight="1">
      <c r="A35" s="482"/>
      <c r="B35" s="614"/>
      <c r="C35" s="481"/>
      <c r="D35" s="483"/>
      <c r="E35" s="598"/>
      <c r="F35" s="599"/>
      <c r="G35" s="599"/>
      <c r="H35" s="599"/>
      <c r="I35" s="599"/>
      <c r="J35" s="599"/>
      <c r="K35" s="599"/>
      <c r="L35" s="599"/>
      <c r="M35" s="599"/>
      <c r="N35" s="599"/>
      <c r="O35" s="599"/>
      <c r="P35" s="599"/>
      <c r="Q35" s="599"/>
      <c r="R35" s="586"/>
      <c r="S35" s="587"/>
      <c r="T35" s="586"/>
      <c r="U35" s="587"/>
      <c r="V35" s="456"/>
      <c r="W35" s="456"/>
      <c r="X35" s="276"/>
      <c r="Y35" s="276"/>
      <c r="Z35" s="209"/>
      <c r="AA35" s="167"/>
      <c r="AB35" s="275"/>
    </row>
    <row r="36" spans="1:29" ht="46.5" customHeight="1">
      <c r="A36" s="482"/>
      <c r="B36" s="614"/>
      <c r="C36" s="481"/>
      <c r="D36" s="483"/>
      <c r="E36" s="598"/>
      <c r="F36" s="599"/>
      <c r="G36" s="599"/>
      <c r="H36" s="599"/>
      <c r="I36" s="599"/>
      <c r="J36" s="599"/>
      <c r="K36" s="599"/>
      <c r="L36" s="599"/>
      <c r="M36" s="599"/>
      <c r="N36" s="599"/>
      <c r="O36" s="599"/>
      <c r="P36" s="599"/>
      <c r="Q36" s="599"/>
      <c r="R36" s="586"/>
      <c r="S36" s="587"/>
      <c r="T36" s="586"/>
      <c r="U36" s="587"/>
      <c r="V36" s="456"/>
      <c r="W36" s="456"/>
      <c r="X36" s="276"/>
      <c r="Y36" s="276"/>
      <c r="Z36" s="209"/>
      <c r="AA36" s="167"/>
      <c r="AB36" s="275"/>
    </row>
    <row r="37" spans="1:29" ht="39" customHeight="1">
      <c r="A37" s="482"/>
      <c r="B37" s="614"/>
      <c r="C37" s="481"/>
      <c r="D37" s="483"/>
      <c r="E37" s="598"/>
      <c r="F37" s="599"/>
      <c r="G37" s="599"/>
      <c r="H37" s="599"/>
      <c r="I37" s="599"/>
      <c r="J37" s="599"/>
      <c r="K37" s="599"/>
      <c r="L37" s="599"/>
      <c r="M37" s="599"/>
      <c r="N37" s="599"/>
      <c r="O37" s="599"/>
      <c r="P37" s="599"/>
      <c r="Q37" s="599"/>
      <c r="R37" s="586"/>
      <c r="S37" s="587"/>
      <c r="T37" s="586"/>
      <c r="U37" s="587"/>
      <c r="V37" s="456"/>
      <c r="W37" s="456"/>
      <c r="X37" s="276"/>
      <c r="Y37" s="276"/>
      <c r="Z37" s="209"/>
      <c r="AA37" s="167"/>
      <c r="AB37" s="275"/>
    </row>
    <row r="38" spans="1:29" ht="42.75" customHeight="1">
      <c r="E38" s="598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86"/>
      <c r="S38" s="587"/>
      <c r="T38" s="586"/>
      <c r="U38" s="587"/>
      <c r="V38" s="456"/>
      <c r="W38" s="456"/>
      <c r="X38" s="276"/>
      <c r="Y38" s="276"/>
      <c r="Z38" s="209"/>
      <c r="AA38" s="167"/>
      <c r="AB38" s="275"/>
    </row>
    <row r="39" spans="1:29" ht="39.75" customHeight="1" thickBot="1">
      <c r="E39" s="590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88"/>
      <c r="S39" s="589"/>
      <c r="T39" s="588"/>
      <c r="U39" s="589"/>
      <c r="V39" s="585"/>
      <c r="W39" s="585"/>
      <c r="X39" s="280"/>
      <c r="Y39" s="280"/>
      <c r="Z39" s="210"/>
      <c r="AA39" s="167"/>
      <c r="AB39" s="275"/>
    </row>
    <row r="40" spans="1:29" ht="15.75" thickBot="1">
      <c r="E40" s="18"/>
      <c r="F40" s="279"/>
      <c r="G40" s="279"/>
      <c r="H40" s="279"/>
      <c r="I40" s="182"/>
      <c r="J40" s="182"/>
      <c r="K40" s="182"/>
      <c r="L40" s="279"/>
      <c r="M40" s="592"/>
      <c r="N40" s="592"/>
      <c r="O40" s="593"/>
      <c r="P40" s="594" t="s">
        <v>236</v>
      </c>
      <c r="Q40" s="595"/>
      <c r="R40" s="600"/>
      <c r="S40" s="601"/>
      <c r="T40" s="279"/>
      <c r="U40" s="279"/>
      <c r="V40" s="18"/>
      <c r="W40" s="18"/>
      <c r="X40" s="18"/>
      <c r="Y40" s="18"/>
      <c r="Z40" s="18"/>
      <c r="AA40" s="18"/>
      <c r="AB40" s="18"/>
      <c r="AC40" s="18"/>
    </row>
    <row r="41" spans="1:29">
      <c r="E41" s="18"/>
      <c r="F41" s="279"/>
      <c r="G41" s="279"/>
      <c r="H41" s="279"/>
      <c r="I41" s="182"/>
      <c r="J41" s="182"/>
      <c r="K41" s="182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18"/>
      <c r="W41" s="18"/>
      <c r="X41" s="18"/>
      <c r="Y41" s="18"/>
      <c r="Z41" s="18"/>
      <c r="AA41" s="18"/>
      <c r="AB41" s="18"/>
      <c r="AC41" s="18"/>
    </row>
    <row r="42" spans="1:29" ht="36">
      <c r="D42" s="264"/>
      <c r="E42" s="18"/>
      <c r="F42" s="18"/>
      <c r="H42" s="18"/>
      <c r="I42" s="89"/>
      <c r="J42" s="89"/>
      <c r="K42" s="89"/>
      <c r="L42" s="89"/>
      <c r="M42" s="89"/>
      <c r="N42" s="18"/>
      <c r="O42" s="265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22.5">
      <c r="C43" s="271"/>
      <c r="D43" s="271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271"/>
    </row>
    <row r="44" spans="1:29" ht="22.5">
      <c r="C44" s="271"/>
      <c r="D44" s="271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271"/>
    </row>
    <row r="45" spans="1:29" ht="22.5">
      <c r="C45" s="271"/>
      <c r="D45" s="271" t="s">
        <v>326</v>
      </c>
      <c r="E45" s="271"/>
      <c r="F45" s="271"/>
      <c r="G45" s="271"/>
      <c r="H45" s="271" t="s">
        <v>327</v>
      </c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</row>
    <row r="46" spans="1:29" ht="22.5"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69" t="s">
        <v>325</v>
      </c>
      <c r="P46" s="271"/>
      <c r="Q46" s="271"/>
      <c r="R46" s="271"/>
      <c r="S46" s="271"/>
      <c r="T46" s="271"/>
      <c r="U46" s="271"/>
    </row>
    <row r="47" spans="1:29" ht="22.5">
      <c r="C47" s="271"/>
      <c r="D47" s="271"/>
      <c r="E47" s="114"/>
      <c r="F47" s="114"/>
      <c r="G47" s="114"/>
      <c r="H47" s="114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</row>
    <row r="48" spans="1:29">
      <c r="E48" s="18"/>
      <c r="F48" s="18"/>
      <c r="G48" s="18"/>
      <c r="H48" s="18"/>
    </row>
    <row r="49" spans="5:8">
      <c r="E49" s="18"/>
      <c r="F49" s="18"/>
      <c r="G49" s="18"/>
      <c r="H49" s="18"/>
    </row>
    <row r="50" spans="5:8">
      <c r="E50" s="18"/>
      <c r="F50" s="18"/>
      <c r="G50" s="18"/>
      <c r="H50" s="18"/>
    </row>
  </sheetData>
  <sheetProtection password="9690" sheet="1" objects="1" scenarios="1"/>
  <mergeCells count="66">
    <mergeCell ref="M40:O40"/>
    <mergeCell ref="P40:Q40"/>
    <mergeCell ref="R40:S40"/>
    <mergeCell ref="W5:X5"/>
    <mergeCell ref="E38:Q38"/>
    <mergeCell ref="R38:S38"/>
    <mergeCell ref="T38:U38"/>
    <mergeCell ref="V38:W38"/>
    <mergeCell ref="E39:Q39"/>
    <mergeCell ref="R39:S39"/>
    <mergeCell ref="T39:U39"/>
    <mergeCell ref="V39:W39"/>
    <mergeCell ref="E36:Q36"/>
    <mergeCell ref="R36:S36"/>
    <mergeCell ref="T36:U36"/>
    <mergeCell ref="V36:W36"/>
    <mergeCell ref="E34:Q34"/>
    <mergeCell ref="R34:S34"/>
    <mergeCell ref="T34:U34"/>
    <mergeCell ref="V34:W34"/>
    <mergeCell ref="E35:Q35"/>
    <mergeCell ref="R35:S35"/>
    <mergeCell ref="T35:U35"/>
    <mergeCell ref="V35:W35"/>
    <mergeCell ref="V33:W33"/>
    <mergeCell ref="A26:A37"/>
    <mergeCell ref="E29:Q29"/>
    <mergeCell ref="R29:S29"/>
    <mergeCell ref="T29:U29"/>
    <mergeCell ref="V29:W29"/>
    <mergeCell ref="B9:B37"/>
    <mergeCell ref="V31:W31"/>
    <mergeCell ref="E32:Q32"/>
    <mergeCell ref="R32:S32"/>
    <mergeCell ref="T32:U32"/>
    <mergeCell ref="V32:W32"/>
    <mergeCell ref="E37:Q37"/>
    <mergeCell ref="R37:S37"/>
    <mergeCell ref="T37:U37"/>
    <mergeCell ref="V37:W37"/>
    <mergeCell ref="AH12:AH14"/>
    <mergeCell ref="AH16:AH24"/>
    <mergeCell ref="C17:C37"/>
    <mergeCell ref="D17:D37"/>
    <mergeCell ref="AF18:AF23"/>
    <mergeCell ref="E31:Q31"/>
    <mergeCell ref="R31:S31"/>
    <mergeCell ref="T31:U31"/>
    <mergeCell ref="Y29:Z29"/>
    <mergeCell ref="E30:Q30"/>
    <mergeCell ref="R30:S30"/>
    <mergeCell ref="T30:U30"/>
    <mergeCell ref="V30:W30"/>
    <mergeCell ref="E33:Q33"/>
    <mergeCell ref="R33:S33"/>
    <mergeCell ref="T33:U33"/>
    <mergeCell ref="F4:AE4"/>
    <mergeCell ref="AG4:AG7"/>
    <mergeCell ref="B5:C8"/>
    <mergeCell ref="I5:J5"/>
    <mergeCell ref="N5:O5"/>
    <mergeCell ref="V5:V6"/>
    <mergeCell ref="Z5:AB5"/>
    <mergeCell ref="AD5:AE5"/>
    <mergeCell ref="AF6:AF16"/>
    <mergeCell ref="AG10:AG19"/>
  </mergeCells>
  <pageMargins left="0.39370078740157483" right="0.19685039370078741" top="0.19685039370078741" bottom="0.19685039370078741" header="0.31496062992125984" footer="0.31496062992125984"/>
  <pageSetup paperSize="9" scale="4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H29" sqref="H29"/>
    </sheetView>
  </sheetViews>
  <sheetFormatPr defaultRowHeight="15"/>
  <sheetData>
    <row r="1" spans="1:14">
      <c r="B1" t="s">
        <v>345</v>
      </c>
    </row>
    <row r="2" spans="1:14">
      <c r="B2" s="1"/>
      <c r="C2" s="456" t="s">
        <v>347</v>
      </c>
      <c r="D2" s="456"/>
      <c r="E2" s="456"/>
      <c r="F2" s="456"/>
      <c r="G2" s="456"/>
      <c r="H2" s="456"/>
      <c r="I2" s="456" t="s">
        <v>348</v>
      </c>
      <c r="J2" s="456"/>
      <c r="K2" s="456"/>
      <c r="L2" s="456"/>
      <c r="M2" s="456"/>
      <c r="N2" s="456"/>
    </row>
    <row r="3" spans="1:14">
      <c r="B3" s="1" t="s">
        <v>339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1</v>
      </c>
      <c r="J3" s="1">
        <v>2</v>
      </c>
      <c r="K3" s="1">
        <v>3</v>
      </c>
      <c r="L3" s="1">
        <v>4</v>
      </c>
      <c r="M3" s="1">
        <v>5</v>
      </c>
      <c r="N3" s="1">
        <v>6</v>
      </c>
    </row>
    <row r="4" spans="1:14">
      <c r="B4" s="1" t="s">
        <v>342</v>
      </c>
      <c r="C4" s="1">
        <v>6.0000000000000001E-3</v>
      </c>
      <c r="D4" s="1">
        <v>8.0000000000000002E-3</v>
      </c>
      <c r="E4" s="1">
        <v>1.2999999999999999E-2</v>
      </c>
      <c r="F4" s="1">
        <v>1.7000000000000001E-2</v>
      </c>
      <c r="G4" s="1">
        <v>2.1000000000000001E-2</v>
      </c>
      <c r="H4" s="1">
        <v>2.5000000000000001E-2</v>
      </c>
      <c r="I4" s="1">
        <v>8.0000000000000002E-3</v>
      </c>
      <c r="J4" s="1">
        <v>1.4E-2</v>
      </c>
      <c r="K4" s="1">
        <v>2.1000000000000001E-2</v>
      </c>
      <c r="L4" s="1">
        <v>2.7E-2</v>
      </c>
      <c r="M4" s="1">
        <v>3.3000000000000002E-2</v>
      </c>
      <c r="N4" s="1">
        <v>0.04</v>
      </c>
    </row>
    <row r="5" spans="1:14">
      <c r="B5" s="1" t="s">
        <v>343</v>
      </c>
      <c r="C5" s="1">
        <v>6.0000000000000001E-3</v>
      </c>
      <c r="D5" s="1">
        <v>1.2E-2</v>
      </c>
      <c r="E5" s="1">
        <v>1.7999999999999999E-2</v>
      </c>
      <c r="F5" s="1">
        <v>2.4E-2</v>
      </c>
      <c r="G5" s="1">
        <v>2.8000000000000001E-2</v>
      </c>
      <c r="H5" s="1">
        <v>3.5000000000000003E-2</v>
      </c>
      <c r="I5" s="1">
        <v>0.01</v>
      </c>
      <c r="J5" s="1">
        <v>1.7999999999999999E-2</v>
      </c>
      <c r="K5" s="1">
        <v>2.5999999999999999E-2</v>
      </c>
      <c r="L5" s="1">
        <v>3.4000000000000002E-2</v>
      </c>
      <c r="M5" s="1">
        <v>4.2000000000000003E-2</v>
      </c>
      <c r="N5" s="1">
        <v>0.05</v>
      </c>
    </row>
    <row r="6" spans="1:14">
      <c r="B6" s="1" t="s">
        <v>344</v>
      </c>
      <c r="C6" s="1">
        <v>8.0000000000000002E-3</v>
      </c>
      <c r="D6" s="1">
        <v>1.4999999999999999E-2</v>
      </c>
      <c r="E6" s="1">
        <v>2.3E-2</v>
      </c>
      <c r="F6" s="1">
        <v>3.2000000000000001E-2</v>
      </c>
      <c r="G6" s="1">
        <v>3.6999999999999998E-2</v>
      </c>
      <c r="H6" s="1">
        <v>4.5999999999999999E-2</v>
      </c>
      <c r="I6" s="1">
        <v>1.4E-2</v>
      </c>
      <c r="J6" s="1">
        <v>2.5000000000000001E-2</v>
      </c>
      <c r="K6" s="1">
        <v>3.6999999999999998E-2</v>
      </c>
      <c r="L6" s="1">
        <v>4.9000000000000002E-2</v>
      </c>
      <c r="M6" s="1">
        <v>0.06</v>
      </c>
      <c r="N6" s="1">
        <v>7.1999999999999995E-2</v>
      </c>
    </row>
    <row r="8" spans="1:14">
      <c r="B8" t="s">
        <v>346</v>
      </c>
    </row>
    <row r="9" spans="1:14">
      <c r="A9" t="s">
        <v>355</v>
      </c>
      <c r="B9" t="s">
        <v>2</v>
      </c>
      <c r="C9" t="s">
        <v>349</v>
      </c>
      <c r="D9" t="s">
        <v>350</v>
      </c>
      <c r="E9" t="s">
        <v>351</v>
      </c>
      <c r="F9" t="s">
        <v>352</v>
      </c>
      <c r="G9" t="s">
        <v>353</v>
      </c>
      <c r="J9" t="s">
        <v>356</v>
      </c>
    </row>
    <row r="10" spans="1:14">
      <c r="A10" s="96" t="s">
        <v>354</v>
      </c>
      <c r="B10" s="72">
        <v>50</v>
      </c>
      <c r="C10" s="72">
        <v>5.0000000000000001E-3</v>
      </c>
      <c r="D10" s="72">
        <v>5.0000000000000001E-3</v>
      </c>
      <c r="E10" s="72">
        <v>5.0000000000000001E-3</v>
      </c>
      <c r="F10" s="72">
        <v>0.01</v>
      </c>
      <c r="G10" s="344">
        <v>0.01</v>
      </c>
    </row>
    <row r="11" spans="1:14">
      <c r="A11" s="95" t="s">
        <v>354</v>
      </c>
      <c r="B11" s="18">
        <v>100</v>
      </c>
      <c r="C11" s="18">
        <v>0.01</v>
      </c>
      <c r="D11" s="18">
        <v>0.01</v>
      </c>
      <c r="E11" s="18">
        <v>0.01</v>
      </c>
      <c r="F11" s="18">
        <v>1.4999999999999999E-2</v>
      </c>
      <c r="G11" s="93">
        <v>1.4999999999999999E-2</v>
      </c>
    </row>
    <row r="12" spans="1:14">
      <c r="A12" s="95" t="s">
        <v>354</v>
      </c>
      <c r="B12" s="18">
        <v>200</v>
      </c>
      <c r="C12" s="18">
        <v>0.01</v>
      </c>
      <c r="D12" s="18">
        <v>0.01</v>
      </c>
      <c r="E12" s="18">
        <v>0.02</v>
      </c>
      <c r="F12" s="18">
        <v>0.02</v>
      </c>
      <c r="G12" s="93">
        <v>0.02</v>
      </c>
    </row>
    <row r="13" spans="1:14">
      <c r="A13" s="95" t="s">
        <v>354</v>
      </c>
      <c r="B13" s="18">
        <v>500</v>
      </c>
      <c r="C13" s="18">
        <v>0.01</v>
      </c>
      <c r="D13" s="18">
        <v>2.5000000000000001E-2</v>
      </c>
      <c r="E13" s="18">
        <v>2.5000000000000001E-2</v>
      </c>
      <c r="F13" s="18">
        <v>4.8000000000000001E-2</v>
      </c>
      <c r="G13" s="93">
        <v>0.05</v>
      </c>
    </row>
    <row r="14" spans="1:14">
      <c r="A14" s="345" t="s">
        <v>354</v>
      </c>
      <c r="B14" s="50">
        <v>600</v>
      </c>
      <c r="C14" s="50">
        <v>0.01</v>
      </c>
      <c r="D14" s="50">
        <v>2.5999999999999999E-2</v>
      </c>
      <c r="E14" s="50">
        <v>0.04</v>
      </c>
      <c r="F14" s="50">
        <v>0.05</v>
      </c>
      <c r="G14" s="346">
        <v>0.05</v>
      </c>
    </row>
    <row r="15" spans="1:14">
      <c r="A15" t="s">
        <v>358</v>
      </c>
      <c r="B15">
        <v>200</v>
      </c>
      <c r="C15">
        <v>8.0000000000000002E-3</v>
      </c>
      <c r="D15">
        <v>1.4E-2</v>
      </c>
      <c r="E15">
        <v>1.4E-2</v>
      </c>
      <c r="F15" s="347">
        <v>2.1999999999999999E-2</v>
      </c>
      <c r="G15" s="347">
        <v>4.8000000000000001E-2</v>
      </c>
    </row>
    <row r="16" spans="1:14">
      <c r="A16" t="s">
        <v>358</v>
      </c>
      <c r="B16">
        <v>500</v>
      </c>
      <c r="C16">
        <v>1.4E-2</v>
      </c>
      <c r="D16">
        <v>1.4E-2</v>
      </c>
      <c r="E16">
        <v>1.7000000000000001E-2</v>
      </c>
      <c r="F16" s="347">
        <v>2.1999999999999999E-2</v>
      </c>
      <c r="G16" s="347">
        <v>4.8000000000000001E-2</v>
      </c>
    </row>
    <row r="17" spans="1:7">
      <c r="A17" t="s">
        <v>358</v>
      </c>
      <c r="B17">
        <v>1250</v>
      </c>
      <c r="C17">
        <v>1.4E-2</v>
      </c>
      <c r="D17">
        <v>2.1999999999999999E-2</v>
      </c>
      <c r="E17">
        <v>2.1999999999999999E-2</v>
      </c>
      <c r="F17" s="347">
        <v>4.8000000000000001E-2</v>
      </c>
      <c r="G17" s="347">
        <v>4.8000000000000001E-2</v>
      </c>
    </row>
  </sheetData>
  <mergeCells count="2">
    <mergeCell ref="C2:H2"/>
    <mergeCell ref="I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2"/>
  <sheetViews>
    <sheetView workbookViewId="0">
      <selection activeCell="U8" sqref="U8"/>
    </sheetView>
  </sheetViews>
  <sheetFormatPr defaultRowHeight="15"/>
  <cols>
    <col min="1" max="1" width="15.5703125" customWidth="1"/>
  </cols>
  <sheetData>
    <row r="1" spans="1:5">
      <c r="A1" t="s">
        <v>89</v>
      </c>
      <c r="B1">
        <v>7.71</v>
      </c>
      <c r="E1" t="s">
        <v>200</v>
      </c>
    </row>
    <row r="2" spans="1:5">
      <c r="A2" t="s">
        <v>90</v>
      </c>
      <c r="B2">
        <v>8</v>
      </c>
      <c r="E2" t="s">
        <v>201</v>
      </c>
    </row>
    <row r="3" spans="1:5">
      <c r="A3" t="s">
        <v>91</v>
      </c>
      <c r="B3">
        <v>9.1</v>
      </c>
    </row>
    <row r="4" spans="1:5">
      <c r="A4" t="s">
        <v>92</v>
      </c>
      <c r="B4">
        <v>7.91</v>
      </c>
    </row>
    <row r="5" spans="1:5">
      <c r="A5" t="s">
        <v>93</v>
      </c>
      <c r="B5">
        <v>8.64</v>
      </c>
    </row>
    <row r="6" spans="1:5">
      <c r="A6" t="s">
        <v>94</v>
      </c>
      <c r="B6">
        <v>4.1100000000000003</v>
      </c>
    </row>
    <row r="7" spans="1:5">
      <c r="A7" t="s">
        <v>95</v>
      </c>
      <c r="B7">
        <v>4.08</v>
      </c>
    </row>
    <row r="8" spans="1:5">
      <c r="A8" t="s">
        <v>96</v>
      </c>
      <c r="B8">
        <v>4.1399999999999997</v>
      </c>
    </row>
    <row r="9" spans="1:5">
      <c r="A9" t="s">
        <v>97</v>
      </c>
      <c r="B9">
        <v>9.2200000000000006</v>
      </c>
    </row>
    <row r="10" spans="1:5">
      <c r="A10" t="s">
        <v>98</v>
      </c>
      <c r="B10">
        <v>8.39</v>
      </c>
    </row>
    <row r="11" spans="1:5">
      <c r="A11" t="s">
        <v>99</v>
      </c>
      <c r="B11">
        <v>8.9600000000000009</v>
      </c>
    </row>
    <row r="12" spans="1:5">
      <c r="A12" t="s">
        <v>100</v>
      </c>
      <c r="B12">
        <v>9.51</v>
      </c>
    </row>
    <row r="13" spans="1:5">
      <c r="A13" t="s">
        <v>101</v>
      </c>
      <c r="B13">
        <v>9.99</v>
      </c>
    </row>
    <row r="14" spans="1:5">
      <c r="A14" t="s">
        <v>102</v>
      </c>
      <c r="B14">
        <v>8.18</v>
      </c>
    </row>
    <row r="15" spans="1:5">
      <c r="A15" t="s">
        <v>103</v>
      </c>
      <c r="B15">
        <v>8.8800000000000008</v>
      </c>
    </row>
    <row r="16" spans="1:5">
      <c r="A16" t="s">
        <v>104</v>
      </c>
      <c r="B16">
        <v>10.050000000000001</v>
      </c>
    </row>
    <row r="17" spans="1:2">
      <c r="A17" t="s">
        <v>105</v>
      </c>
      <c r="B17">
        <v>2.35</v>
      </c>
    </row>
    <row r="18" spans="1:2">
      <c r="A18" t="s">
        <v>106</v>
      </c>
      <c r="B18">
        <v>8.7799999999999994</v>
      </c>
    </row>
    <row r="19" spans="1:2">
      <c r="A19" t="s">
        <v>107</v>
      </c>
      <c r="B19">
        <v>3.89</v>
      </c>
    </row>
    <row r="20" spans="1:2">
      <c r="A20" t="s">
        <v>108</v>
      </c>
      <c r="B20">
        <v>4.2</v>
      </c>
    </row>
    <row r="21" spans="1:2">
      <c r="A21" t="s">
        <v>109</v>
      </c>
      <c r="B21">
        <v>4.17</v>
      </c>
    </row>
    <row r="22" spans="1:2">
      <c r="A22" t="s">
        <v>110</v>
      </c>
      <c r="B22">
        <v>4.49</v>
      </c>
    </row>
    <row r="23" spans="1:2">
      <c r="A23" t="s">
        <v>111</v>
      </c>
      <c r="B23">
        <v>4.16</v>
      </c>
    </row>
    <row r="24" spans="1:2">
      <c r="A24" t="s">
        <v>112</v>
      </c>
      <c r="B24">
        <v>4.43</v>
      </c>
    </row>
    <row r="25" spans="1:2">
      <c r="A25" t="s">
        <v>113</v>
      </c>
      <c r="B25">
        <v>4.54</v>
      </c>
    </row>
    <row r="26" spans="1:2">
      <c r="A26" t="s">
        <v>114</v>
      </c>
      <c r="B26">
        <v>4.47</v>
      </c>
    </row>
    <row r="27" spans="1:2">
      <c r="A27" t="s">
        <v>115</v>
      </c>
      <c r="B27">
        <v>4.6100000000000003</v>
      </c>
    </row>
    <row r="28" spans="1:2">
      <c r="A28" t="s">
        <v>116</v>
      </c>
      <c r="B28">
        <v>4.92</v>
      </c>
    </row>
    <row r="29" spans="1:2">
      <c r="A29" t="s">
        <v>117</v>
      </c>
      <c r="B29">
        <v>4.8499999999999996</v>
      </c>
    </row>
    <row r="30" spans="1:2">
      <c r="A30" t="s">
        <v>118</v>
      </c>
      <c r="B30">
        <v>4.8</v>
      </c>
    </row>
    <row r="31" spans="1:2">
      <c r="A31" t="s">
        <v>119</v>
      </c>
      <c r="B31">
        <v>4.34</v>
      </c>
    </row>
    <row r="32" spans="1:2">
      <c r="A32" t="s">
        <v>120</v>
      </c>
      <c r="B32">
        <v>4.4400000000000004</v>
      </c>
    </row>
    <row r="33" spans="1:2">
      <c r="A33" t="s">
        <v>121</v>
      </c>
      <c r="B33">
        <v>4.07</v>
      </c>
    </row>
    <row r="34" spans="1:2">
      <c r="A34" t="s">
        <v>122</v>
      </c>
      <c r="B34">
        <v>4.17</v>
      </c>
    </row>
    <row r="35" spans="1:2">
      <c r="A35" t="s">
        <v>123</v>
      </c>
      <c r="B35">
        <v>4.3499999999999996</v>
      </c>
    </row>
    <row r="36" spans="1:2">
      <c r="A36" t="s">
        <v>124</v>
      </c>
      <c r="B36">
        <v>4.42</v>
      </c>
    </row>
    <row r="37" spans="1:2">
      <c r="A37" t="s">
        <v>125</v>
      </c>
      <c r="B37">
        <v>4.88</v>
      </c>
    </row>
    <row r="38" spans="1:2">
      <c r="A38" t="s">
        <v>126</v>
      </c>
      <c r="B38">
        <v>4.67</v>
      </c>
    </row>
    <row r="39" spans="1:2">
      <c r="A39" t="s">
        <v>127</v>
      </c>
      <c r="B39">
        <v>4.32</v>
      </c>
    </row>
    <row r="40" spans="1:2">
      <c r="A40" t="s">
        <v>128</v>
      </c>
      <c r="B40">
        <v>4.62</v>
      </c>
    </row>
    <row r="41" spans="1:2">
      <c r="A41" t="s">
        <v>129</v>
      </c>
      <c r="B41">
        <v>4.1500000000000004</v>
      </c>
    </row>
    <row r="42" spans="1:2">
      <c r="A42" t="s">
        <v>130</v>
      </c>
      <c r="B42">
        <v>4.79</v>
      </c>
    </row>
    <row r="43" spans="1:2">
      <c r="A43" t="s">
        <v>131</v>
      </c>
      <c r="B43">
        <v>4.63</v>
      </c>
    </row>
    <row r="44" spans="1:2">
      <c r="A44" t="s">
        <v>132</v>
      </c>
      <c r="B44">
        <v>4.57</v>
      </c>
    </row>
    <row r="45" spans="1:2">
      <c r="A45" t="s">
        <v>133</v>
      </c>
      <c r="B45">
        <v>4.74</v>
      </c>
    </row>
    <row r="46" spans="1:2">
      <c r="A46" t="s">
        <v>134</v>
      </c>
      <c r="B46">
        <v>5.16</v>
      </c>
    </row>
    <row r="47" spans="1:2">
      <c r="A47" t="s">
        <v>135</v>
      </c>
      <c r="B47">
        <v>4.88</v>
      </c>
    </row>
    <row r="48" spans="1:2">
      <c r="A48" t="s">
        <v>136</v>
      </c>
      <c r="B48">
        <v>6.8</v>
      </c>
    </row>
    <row r="49" spans="1:2">
      <c r="A49" t="s">
        <v>137</v>
      </c>
      <c r="B49">
        <v>4.59</v>
      </c>
    </row>
    <row r="50" spans="1:2">
      <c r="A50" t="s">
        <v>138</v>
      </c>
      <c r="B50">
        <v>5.71</v>
      </c>
    </row>
    <row r="51" spans="1:2">
      <c r="A51" t="s">
        <v>139</v>
      </c>
      <c r="B51">
        <v>5.7</v>
      </c>
    </row>
    <row r="52" spans="1:2">
      <c r="A52" t="s">
        <v>140</v>
      </c>
      <c r="B52">
        <v>6.26</v>
      </c>
    </row>
    <row r="53" spans="1:2">
      <c r="A53" t="s">
        <v>141</v>
      </c>
      <c r="B53">
        <v>6.26</v>
      </c>
    </row>
    <row r="54" spans="1:2">
      <c r="A54" t="s">
        <v>142</v>
      </c>
      <c r="B54">
        <v>6.16</v>
      </c>
    </row>
    <row r="55" spans="1:2">
      <c r="A55" t="s">
        <v>143</v>
      </c>
      <c r="B55">
        <v>5.34</v>
      </c>
    </row>
    <row r="56" spans="1:2">
      <c r="A56" t="s">
        <v>144</v>
      </c>
      <c r="B56">
        <v>4.9800000000000004</v>
      </c>
    </row>
    <row r="57" spans="1:2">
      <c r="A57" t="s">
        <v>145</v>
      </c>
      <c r="B57">
        <v>5.33</v>
      </c>
    </row>
    <row r="58" spans="1:2">
      <c r="A58" t="s">
        <v>146</v>
      </c>
      <c r="B58">
        <v>5.27</v>
      </c>
    </row>
    <row r="59" spans="1:2">
      <c r="A59" t="s">
        <v>147</v>
      </c>
      <c r="B59">
        <v>5.62</v>
      </c>
    </row>
    <row r="60" spans="1:2">
      <c r="A60" t="s">
        <v>148</v>
      </c>
      <c r="B60">
        <v>5.08</v>
      </c>
    </row>
    <row r="61" spans="1:2">
      <c r="A61" t="s">
        <v>149</v>
      </c>
      <c r="B61">
        <v>5.76</v>
      </c>
    </row>
    <row r="62" spans="1:2">
      <c r="A62" t="s">
        <v>150</v>
      </c>
      <c r="B62">
        <v>5.19</v>
      </c>
    </row>
    <row r="63" spans="1:2">
      <c r="A63" t="s">
        <v>151</v>
      </c>
      <c r="B63">
        <v>5.0199999999999996</v>
      </c>
    </row>
    <row r="64" spans="1:2">
      <c r="A64" t="s">
        <v>152</v>
      </c>
      <c r="B64">
        <v>5.69</v>
      </c>
    </row>
    <row r="65" spans="1:2">
      <c r="A65" t="s">
        <v>153</v>
      </c>
      <c r="B65">
        <v>6.5</v>
      </c>
    </row>
    <row r="66" spans="1:2">
      <c r="A66" t="s">
        <v>154</v>
      </c>
      <c r="B66">
        <v>5.71</v>
      </c>
    </row>
    <row r="67" spans="1:2">
      <c r="A67" t="s">
        <v>155</v>
      </c>
      <c r="B67">
        <v>6.93</v>
      </c>
    </row>
    <row r="68" spans="1:2">
      <c r="A68" t="s">
        <v>156</v>
      </c>
      <c r="B68">
        <v>6.19</v>
      </c>
    </row>
    <row r="69" spans="1:2">
      <c r="A69" t="s">
        <v>157</v>
      </c>
      <c r="B69">
        <v>6.88</v>
      </c>
    </row>
    <row r="70" spans="1:2">
      <c r="A70" t="s">
        <v>158</v>
      </c>
      <c r="B70">
        <v>7.15</v>
      </c>
    </row>
    <row r="71" spans="1:2">
      <c r="A71" t="s">
        <v>159</v>
      </c>
      <c r="B71">
        <v>5.53</v>
      </c>
    </row>
    <row r="72" spans="1:2">
      <c r="A72" t="s">
        <v>160</v>
      </c>
      <c r="B72">
        <v>5.83</v>
      </c>
    </row>
    <row r="73" spans="1:2">
      <c r="A73" t="s">
        <v>161</v>
      </c>
      <c r="B73">
        <v>6.07</v>
      </c>
    </row>
    <row r="74" spans="1:2">
      <c r="A74" t="s">
        <v>162</v>
      </c>
      <c r="B74">
        <v>6.1</v>
      </c>
    </row>
    <row r="75" spans="1:2">
      <c r="A75" t="s">
        <v>163</v>
      </c>
      <c r="B75">
        <v>6.74</v>
      </c>
    </row>
    <row r="76" spans="1:2">
      <c r="A76" t="s">
        <v>164</v>
      </c>
      <c r="B76">
        <v>7.7</v>
      </c>
    </row>
    <row r="77" spans="1:2">
      <c r="A77" t="s">
        <v>165</v>
      </c>
      <c r="B77">
        <v>7</v>
      </c>
    </row>
    <row r="78" spans="1:2">
      <c r="A78" t="s">
        <v>166</v>
      </c>
      <c r="B78">
        <v>5.97</v>
      </c>
    </row>
    <row r="79" spans="1:2">
      <c r="A79" t="s">
        <v>167</v>
      </c>
      <c r="B79">
        <v>6.94</v>
      </c>
    </row>
    <row r="80" spans="1:2">
      <c r="A80" t="s">
        <v>168</v>
      </c>
      <c r="B80">
        <v>5.4</v>
      </c>
    </row>
    <row r="81" spans="1:2">
      <c r="A81" t="s">
        <v>169</v>
      </c>
      <c r="B81">
        <v>5.64</v>
      </c>
    </row>
    <row r="82" spans="1:2">
      <c r="A82" t="s">
        <v>170</v>
      </c>
      <c r="B82">
        <v>5.85</v>
      </c>
    </row>
    <row r="83" spans="1:2">
      <c r="A83" t="s">
        <v>171</v>
      </c>
      <c r="B83">
        <v>7.3</v>
      </c>
    </row>
    <row r="84" spans="1:2">
      <c r="A84" t="s">
        <v>172</v>
      </c>
      <c r="B84">
        <v>5.98</v>
      </c>
    </row>
    <row r="85" spans="1:2">
      <c r="A85" t="s">
        <v>173</v>
      </c>
      <c r="B85">
        <v>5.43</v>
      </c>
    </row>
    <row r="86" spans="1:2">
      <c r="A86" t="s">
        <v>174</v>
      </c>
      <c r="B86">
        <v>6.53</v>
      </c>
    </row>
    <row r="87" spans="1:2">
      <c r="A87" t="s">
        <v>175</v>
      </c>
      <c r="B87">
        <v>6.87</v>
      </c>
    </row>
    <row r="88" spans="1:2">
      <c r="A88" t="s">
        <v>176</v>
      </c>
      <c r="B88">
        <v>7.49</v>
      </c>
    </row>
    <row r="89" spans="1:2">
      <c r="A89" t="s">
        <v>177</v>
      </c>
      <c r="B89">
        <v>7.15</v>
      </c>
    </row>
    <row r="90" spans="1:2">
      <c r="A90" t="s">
        <v>178</v>
      </c>
      <c r="B90">
        <v>6.25</v>
      </c>
    </row>
    <row r="91" spans="1:2">
      <c r="A91" t="s">
        <v>179</v>
      </c>
      <c r="B91">
        <v>7.11</v>
      </c>
    </row>
    <row r="92" spans="1:2">
      <c r="A92" t="s">
        <v>89</v>
      </c>
      <c r="B92">
        <v>7.68</v>
      </c>
    </row>
    <row r="93" spans="1:2">
      <c r="A93" t="s">
        <v>180</v>
      </c>
      <c r="B93">
        <v>6.35</v>
      </c>
    </row>
    <row r="94" spans="1:2">
      <c r="A94" t="s">
        <v>181</v>
      </c>
      <c r="B94">
        <v>7.82</v>
      </c>
    </row>
    <row r="95" spans="1:2">
      <c r="A95" t="s">
        <v>182</v>
      </c>
      <c r="B95">
        <v>6.31</v>
      </c>
    </row>
    <row r="96" spans="1:2">
      <c r="A96" t="s">
        <v>183</v>
      </c>
      <c r="B96">
        <v>7.31</v>
      </c>
    </row>
    <row r="97" spans="1:2">
      <c r="A97" t="s">
        <v>184</v>
      </c>
      <c r="B97">
        <v>7.72</v>
      </c>
    </row>
    <row r="98" spans="1:2">
      <c r="A98" t="s">
        <v>185</v>
      </c>
      <c r="B98">
        <v>8.32</v>
      </c>
    </row>
    <row r="99" spans="1:2">
      <c r="A99" t="s">
        <v>186</v>
      </c>
      <c r="B99">
        <v>8.35</v>
      </c>
    </row>
    <row r="100" spans="1:2">
      <c r="A100" t="s">
        <v>187</v>
      </c>
      <c r="B100">
        <v>6.91</v>
      </c>
    </row>
    <row r="101" spans="1:2">
      <c r="A101" t="s">
        <v>188</v>
      </c>
      <c r="B101">
        <v>7.02</v>
      </c>
    </row>
    <row r="102" spans="1:2">
      <c r="A102" t="s">
        <v>189</v>
      </c>
      <c r="B102">
        <v>6.2</v>
      </c>
    </row>
    <row r="103" spans="1:2">
      <c r="A103" t="s">
        <v>190</v>
      </c>
      <c r="B103">
        <v>7.58</v>
      </c>
    </row>
    <row r="104" spans="1:2">
      <c r="A104" t="s">
        <v>191</v>
      </c>
      <c r="B104">
        <v>7.53</v>
      </c>
    </row>
    <row r="105" spans="1:2">
      <c r="A105" t="s">
        <v>192</v>
      </c>
      <c r="B105">
        <v>7.66</v>
      </c>
    </row>
    <row r="106" spans="1:2">
      <c r="A106" t="s">
        <v>193</v>
      </c>
      <c r="B106">
        <v>7.75</v>
      </c>
    </row>
    <row r="107" spans="1:2">
      <c r="A107" t="s">
        <v>194</v>
      </c>
      <c r="B107">
        <v>8.15</v>
      </c>
    </row>
    <row r="108" spans="1:2">
      <c r="A108" t="s">
        <v>195</v>
      </c>
      <c r="B108">
        <v>6.82</v>
      </c>
    </row>
    <row r="109" spans="1:2">
      <c r="A109" t="s">
        <v>196</v>
      </c>
      <c r="B109">
        <v>6.2</v>
      </c>
    </row>
    <row r="110" spans="1:2">
      <c r="A110" t="s">
        <v>197</v>
      </c>
      <c r="B110">
        <v>5.14</v>
      </c>
    </row>
    <row r="111" spans="1:2">
      <c r="A111" t="s">
        <v>198</v>
      </c>
      <c r="B111">
        <v>4.9000000000000004</v>
      </c>
    </row>
    <row r="112" spans="1:2">
      <c r="A112" t="s">
        <v>199</v>
      </c>
      <c r="B112">
        <v>7.23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47"/>
  <sheetViews>
    <sheetView topLeftCell="N3" workbookViewId="0">
      <selection activeCell="P7" sqref="P7"/>
    </sheetView>
  </sheetViews>
  <sheetFormatPr defaultRowHeight="15"/>
  <cols>
    <col min="1" max="1" width="11.28515625" customWidth="1"/>
    <col min="2" max="2" width="8.5703125" customWidth="1"/>
    <col min="3" max="3" width="3" customWidth="1"/>
    <col min="4" max="4" width="13.5703125" customWidth="1"/>
    <col min="5" max="5" width="15.5703125" customWidth="1"/>
    <col min="6" max="6" width="7.7109375" customWidth="1"/>
    <col min="7" max="7" width="16.5703125" customWidth="1"/>
    <col min="8" max="8" width="2.7109375" customWidth="1"/>
    <col min="9" max="9" width="8.28515625" customWidth="1"/>
    <col min="10" max="10" width="9.7109375" customWidth="1"/>
    <col min="11" max="11" width="12.28515625" customWidth="1"/>
    <col min="12" max="12" width="8.85546875" customWidth="1"/>
    <col min="13" max="13" width="11.42578125" customWidth="1"/>
    <col min="14" max="14" width="10.28515625" customWidth="1"/>
    <col min="15" max="15" width="11.85546875" customWidth="1"/>
    <col min="22" max="22" width="10.42578125" customWidth="1"/>
  </cols>
  <sheetData>
    <row r="1" spans="1:37">
      <c r="I1" t="s">
        <v>223</v>
      </c>
    </row>
    <row r="2" spans="1:37" ht="18.75">
      <c r="A2" s="434" t="s">
        <v>36</v>
      </c>
      <c r="B2" s="434"/>
      <c r="C2" s="434"/>
      <c r="D2" s="434"/>
      <c r="E2" s="434"/>
      <c r="F2" s="434"/>
      <c r="G2" s="434"/>
      <c r="H2" s="434"/>
      <c r="I2" s="434"/>
      <c r="J2" s="434"/>
      <c r="K2" s="67"/>
      <c r="O2" t="s">
        <v>202</v>
      </c>
      <c r="P2">
        <v>800</v>
      </c>
      <c r="Q2" t="s">
        <v>203</v>
      </c>
      <c r="S2">
        <v>600</v>
      </c>
      <c r="U2" t="s">
        <v>204</v>
      </c>
      <c r="V2">
        <f>INDEX(reg_table!B:B,MATCH(CONCATENATE(P2,"X",S2),reg_table!A:A,0))</f>
        <v>7.58</v>
      </c>
    </row>
    <row r="3" spans="1:37" ht="44.25" customHeight="1">
      <c r="A3" s="432" t="s">
        <v>266</v>
      </c>
      <c r="B3" s="433"/>
      <c r="C3" s="433"/>
      <c r="D3" s="433"/>
      <c r="E3" s="433"/>
      <c r="F3" s="433"/>
      <c r="G3" s="433"/>
      <c r="H3" s="433"/>
      <c r="I3" s="433"/>
      <c r="J3" s="433"/>
      <c r="K3" s="66"/>
    </row>
    <row r="4" spans="1:37" ht="21.75" thickBot="1">
      <c r="A4" s="428" t="s">
        <v>69</v>
      </c>
      <c r="B4" s="429"/>
      <c r="C4" s="429"/>
      <c r="D4" s="36">
        <f>'Исходные данные'!F4</f>
        <v>0</v>
      </c>
    </row>
    <row r="5" spans="1:37" ht="33.75" customHeight="1" thickBot="1">
      <c r="A5" s="435" t="s">
        <v>10</v>
      </c>
      <c r="B5" s="439" t="s">
        <v>0</v>
      </c>
      <c r="C5" s="440"/>
      <c r="D5" s="435" t="s">
        <v>8</v>
      </c>
      <c r="E5" s="435"/>
      <c r="F5" s="435" t="s">
        <v>37</v>
      </c>
      <c r="G5" s="435" t="s">
        <v>35</v>
      </c>
      <c r="H5" s="437"/>
      <c r="I5" s="437" t="s">
        <v>18</v>
      </c>
      <c r="J5" s="437" t="s">
        <v>38</v>
      </c>
      <c r="K5" s="435" t="s">
        <v>218</v>
      </c>
      <c r="L5" s="446" t="s">
        <v>217</v>
      </c>
      <c r="M5" s="435" t="s">
        <v>219</v>
      </c>
      <c r="N5" s="446" t="s">
        <v>217</v>
      </c>
      <c r="P5" t="s">
        <v>14</v>
      </c>
      <c r="S5" s="3" t="s">
        <v>70</v>
      </c>
      <c r="T5" t="s">
        <v>57</v>
      </c>
      <c r="W5" s="443" t="s">
        <v>14</v>
      </c>
      <c r="X5" s="444"/>
      <c r="Y5" s="444"/>
      <c r="Z5" s="444"/>
      <c r="AA5" s="444"/>
      <c r="AB5" s="445"/>
    </row>
    <row r="6" spans="1:37" ht="47.25" customHeight="1">
      <c r="A6" s="436"/>
      <c r="B6" s="441"/>
      <c r="C6" s="442"/>
      <c r="D6" s="436"/>
      <c r="E6" s="436"/>
      <c r="F6" s="436"/>
      <c r="G6" s="436"/>
      <c r="H6" s="438"/>
      <c r="I6" s="438"/>
      <c r="J6" s="438"/>
      <c r="K6" s="436"/>
      <c r="L6" s="447"/>
      <c r="M6" s="436"/>
      <c r="N6" s="447"/>
      <c r="O6" s="33" t="s">
        <v>19</v>
      </c>
      <c r="P6" s="33" t="s">
        <v>39</v>
      </c>
      <c r="Q6" s="33" t="s">
        <v>40</v>
      </c>
      <c r="R6" s="33"/>
      <c r="S6" s="33"/>
      <c r="T6" s="33" t="s">
        <v>81</v>
      </c>
      <c r="U6" s="33" t="s">
        <v>82</v>
      </c>
      <c r="V6" s="33" t="s">
        <v>83</v>
      </c>
      <c r="W6" s="33" t="s">
        <v>39</v>
      </c>
      <c r="X6" s="33" t="s">
        <v>361</v>
      </c>
      <c r="Y6" s="358" t="s">
        <v>364</v>
      </c>
      <c r="Z6" s="33" t="s">
        <v>362</v>
      </c>
      <c r="AA6" s="33" t="s">
        <v>363</v>
      </c>
      <c r="AB6" s="358" t="s">
        <v>17</v>
      </c>
      <c r="AC6" s="33"/>
      <c r="AD6" s="33"/>
      <c r="AE6" s="33"/>
      <c r="AF6" s="33"/>
      <c r="AG6" s="33"/>
      <c r="AH6" s="33"/>
      <c r="AI6" s="33"/>
      <c r="AJ6" s="33"/>
      <c r="AK6" s="33"/>
    </row>
    <row r="7" spans="1:37">
      <c r="A7" s="2">
        <f>'Исходные данные'!B6</f>
        <v>0</v>
      </c>
      <c r="B7" s="15">
        <f>'Исходные данные'!C6</f>
        <v>0</v>
      </c>
      <c r="C7" s="16">
        <f>'Исходные данные'!D6</f>
        <v>0</v>
      </c>
      <c r="D7" s="27" t="str">
        <f>IF('Исходные данные'!C6='Исходные данные'!$M$1,'Исходные данные'!F6,IF('Исходные данные'!C6='Исходные данные'!$M$2,'Исходные данные'!F6,"---"))</f>
        <v>---</v>
      </c>
      <c r="E7" s="28" t="str">
        <f>IF('Исходные данные'!S6=252,"---",IF('Исходные данные'!S6=232,"KCKP",IF('Исходные данные'!S6=212,"KCKP-N","--")))</f>
        <v>--</v>
      </c>
      <c r="F7" s="2">
        <f>IF('Исходные данные'!M6=2,'Исходные данные'!G6,IF('Исходные данные'!M6=4,'Исходные данные'!G6,'Исходные данные'!I6))</f>
        <v>0</v>
      </c>
      <c r="G7" s="2">
        <f>IF('Исходные данные'!M6=1,'Исходные данные'!H6*2,IF('Исходные данные'!M6=3,'Исходные данные'!H6*2,'Исходные данные'!H6))</f>
        <v>0</v>
      </c>
      <c r="H7" s="2" t="s">
        <v>9</v>
      </c>
      <c r="I7" s="2" t="str">
        <f>IF('Исходные данные'!M6=1,G7,"---")</f>
        <v>---</v>
      </c>
      <c r="J7" s="2" t="str">
        <f>IF('Исходные данные'!L6=1,"ОЦ",IF('Исходные данные'!L6=2,"нерж",IF('Исходные данные'!L6=3,"ОЦ",IF('Исходные данные'!L6=4,"краш","---"))))</f>
        <v>---</v>
      </c>
      <c r="K7" s="68"/>
      <c r="L7" s="1"/>
      <c r="M7" s="1"/>
      <c r="N7" s="1"/>
      <c r="O7" s="10" t="str">
        <f>IF('Исходные данные'!M6=1,'Исходные данные'!O6,IF('Исходные данные'!M6=2,'Исходные данные'!Q6,IF('Исходные данные'!M6=3,'Исходные данные'!P6,IF('Исходные данные'!M6=4,'Исходные данные'!Q6,"---"))))</f>
        <v>---</v>
      </c>
      <c r="P7">
        <f>IF('Исходные данные'!M6=1,IF(AND(160&lt;=D7,D7&lt;310),1,IF(AND(310&lt;=D7,D7&lt;460),2,IF(AND(460&lt;=D7,D7&lt;610),3,IF(AND(610&lt;=D7,D7&lt;760),4,IF(AND(760&lt;=D7,D7&lt;910),5,IF(AND(910&lt;=D7,D7&lt;1060),6,IF(AND(1060&lt;=D7,D7&lt;1210),7,IF(AND(1210&lt;=D7,D7&lt;1360),8,IF(AND(1360&lt;=D7,D7&lt;1510),9,IF(AND(1510&lt;=D7,D7&lt;1660),10,IF(AND(1660&lt;=D7,D7&lt;1810),11,IF(AND(1810&lt;=D7,D7&lt;1960),12,IF(AND(1960&lt;=D7,D7&lt;2110),13,IF(AND(2110&lt;=D7,D7&lt;2260),14,IF(AND(2260&lt;=D7,D7&lt;2410),15,IF(AND(2410&lt;=D7,D7&lt;2500),16,"---")))))))))))))))),IF('Исходные данные'!M6=3,IF(AND(160&lt;=D7,D7&lt;310),1,IF(AND(310&lt;=D7,D7&lt;460),2,IF(AND(460&lt;=D7,D7&lt;610),3,IF(AND(610&lt;=D7,D7&lt;760),4,IF(AND(760&lt;=D7,D7&lt;910),5,IF(AND(910&lt;=D7,D7&lt;1060),6,IF(AND(1060&lt;=D7,D7&lt;1210),7,IF(AND(1210&lt;=D7,D7&lt;1360),8,IF(AND(1360&lt;=D7,D7&lt;1510),9,IF(AND(1510&lt;=D7,D7&lt;1660),10,IF(AND(1660&lt;=D7,D7&lt;1810),11,IF(AND(1810&lt;=D7,D7&lt;1960),12,IF(AND(1960&lt;=D7,D7&lt;2110),13,IF(AND(2110&lt;=D7,D7&lt;2260),14,IF(AND(2260&lt;=D7,D7&lt;2410),15,IF(AND(2410&lt;=D7,D7&lt;2500),16,"---")))))))))))))))),0))</f>
        <v>0</v>
      </c>
      <c r="Q7" s="19">
        <f>IF('Исходные данные'!M6=2,IF(AND(175&lt;=D7,D7&lt;325),1,IF(AND(325&lt;=D7,D7&lt;475),2,IF(AND(475&lt;=D7,D7&lt;625),3,IF(AND(625&lt;=D7,D7&lt;775),4,IF(AND(775&lt;=D7,D7&lt;925),5,IF(AND(925&lt;=D7,D7&lt;1075),6,IF(AND(1075&lt;=D7,D7&lt;1225),7,IF(AND(1225&lt;=D7,D7&lt;1375),8,IF(AND(1375&lt;=D7,D7&lt;1525),9,IF(AND(1525&lt;=D7,D7&lt;1675),10,IF(AND(1675&lt;=D7,D7&lt;1825),11,IF(AND(1825&lt;=D7,D7&lt;1975),12,IF(AND(1975&lt;=D7,D7&lt;2125),13,IF(AND(2125&lt;=D7,D7&lt;2275),14,IF(AND(2275&lt;=D7,D7&lt;2400),15,IF(AND(2400&lt;=D7,D7&lt;2500),16,"---")))))))))))))))),IF('Исходные данные'!M6=4,IF(AND(175&lt;=D7,D7&lt;325),1,IF(AND(325&lt;=D7,D7&lt;475),2,IF(AND(475&lt;=D7,D7&lt;625),3,IF(AND(625&lt;=D7,D7&lt;775),4,IF(AND(775&lt;=D7,D7&lt;925),5,IF(AND(925&lt;=D7,D7&lt;1075),6,IF(AND(1075&lt;=D7,D7&lt;1225),7,IF(AND(1225&lt;=D7,D7&lt;1375),8,IF(AND(1375&lt;=D7,D7&lt;1525),9,IF(AND(1525&lt;=D7,D7&lt;1675),10,IF(AND(1675&lt;=D7,D7&lt;1825),11,IF(AND(1825&lt;=D7,D7&lt;1975),12,IF(AND(1975&lt;=D7,D7&lt;2125),13,IF(AND(2125&lt;=D7,D7&lt;2275),14,IF(AND(2275&lt;=D7,D7&lt;2400),15,IF(AND(2400&lt;=D7,D7&lt;2500),16,"---")))))))))))))))),0))</f>
        <v>0</v>
      </c>
      <c r="R7" s="52">
        <f>IF(OR('Исходные данные'!M6=1,'Исходные данные'!M6=3),P7,Q7)</f>
        <v>0</v>
      </c>
      <c r="S7">
        <f>P7*'Исходные данные'!H6</f>
        <v>0</v>
      </c>
      <c r="T7">
        <f>IF('Исходные данные'!M6=1,IF(D7&lt;=180,2.54,IF(D7&lt;=300,3.34,IF(D7&lt;=495,2.95,IF(D7&lt;=815,3.15,IF(D7&lt;=1115,3.39,IF(D7&lt;=2400,4.96,"---")))))),IF('Исходные данные'!M6=3,IF(D7&lt;=180,2.54,IF(D7&lt;=300,3.34,IF(D7&lt;=495,2.95,IF(D7&lt;=815,3.15,IF(D7&lt;=1115,3.39,IF(D7&lt;=2400,4.96,0)))))),0))*'Исходные данные'!H6</f>
        <v>0</v>
      </c>
      <c r="U7">
        <f>IF('Исходные данные'!M6=1,IF(D7&lt;=180,2.09,IF(D7&lt;=875,2.14,IF(D7&lt;=1155,2.41,IF(D7&lt;=1215,2.87,IF(D7&lt;=1385,3.05,IF(D7&lt;=1700,3.13,IF(D7&lt;=2400,4.37,0))))))),0)*'Исходные данные'!H6</f>
        <v>0</v>
      </c>
      <c r="V7">
        <f>IFERROR(INDEX(reg_table!B:B,MATCH(CONCATENATE(D7,"X",F7),reg_table!A:A,0)) *'Исходные данные'!H6, 0)</f>
        <v>0</v>
      </c>
      <c r="W7">
        <f>ROUNDDOWN((('Исходные данные'!F6-160)/140),0)</f>
        <v>-1</v>
      </c>
      <c r="X7">
        <f>('Исходные данные'!F6-160)/140</f>
        <v>-1.1428571428571428</v>
      </c>
      <c r="Y7" s="356">
        <f>IF(X7-W7=0,ROUNDDOWN(('Исходные данные'!F6-160)/140,0),ROUNDDOWN(('Исходные данные'!F6-160)/140,0)+1)</f>
        <v>0</v>
      </c>
      <c r="Z7">
        <f>('Исходные данные'!F6-170)/150</f>
        <v>-1.1333333333333333</v>
      </c>
      <c r="AA7">
        <f>ROUNDDOWN((('Исходные данные'!F6-170)/150),0)</f>
        <v>-1</v>
      </c>
      <c r="AB7" s="356">
        <f>IF(Z7-AA7=0,ROUNDDOWN(('Исходные данные'!F6-170)/150,0),ROUNDDOWN(('Исходные данные'!F6-170)/150,0)+1)</f>
        <v>0</v>
      </c>
    </row>
    <row r="8" spans="1:37">
      <c r="A8" s="41">
        <f>'Исходные данные'!B7</f>
        <v>0</v>
      </c>
      <c r="B8" s="15">
        <f>'Исходные данные'!C7</f>
        <v>0</v>
      </c>
      <c r="C8" s="16">
        <f>'Исходные данные'!D7</f>
        <v>0</v>
      </c>
      <c r="D8" s="2" t="str">
        <f>IF('Исходные данные'!C7='Исходные данные'!$M$1,'Исходные данные'!F7,IF('Исходные данные'!C7='Исходные данные'!$M$2,'Исходные данные'!F7,"---"))</f>
        <v>---</v>
      </c>
      <c r="E8" s="29" t="str">
        <f>IF('Исходные данные'!S7=252,"---",IF('Исходные данные'!S7=232,"KCKP",IF('Исходные данные'!S7=212,"KCKP-N","--")))</f>
        <v>--</v>
      </c>
      <c r="F8" s="85">
        <f>IF('Исходные данные'!M7=2,'Исходные данные'!G7,IF('Исходные данные'!M7=4,'Исходные данные'!G7,'Исходные данные'!I7))</f>
        <v>0</v>
      </c>
      <c r="G8" s="2">
        <f>IF('Исходные данные'!M7=1,'Исходные данные'!H7*2,IF('Исходные данные'!M7=3,'Исходные данные'!H7*2,'Исходные данные'!H7))</f>
        <v>0</v>
      </c>
      <c r="H8" s="2" t="s">
        <v>9</v>
      </c>
      <c r="I8" s="2" t="str">
        <f>IF('Исходные данные'!M7=1,G8,"---")</f>
        <v>---</v>
      </c>
      <c r="J8" s="383" t="str">
        <f>IF('Исходные данные'!L7=1,"ОЦ",IF('Исходные данные'!L7=2,"нерж",IF('Исходные данные'!L7=3,"ОЦ",IF('Исходные данные'!L7=4,"краш","---"))))</f>
        <v>---</v>
      </c>
      <c r="K8" s="68"/>
      <c r="L8" s="1"/>
      <c r="M8" s="1"/>
      <c r="N8" s="1"/>
      <c r="O8" s="42" t="str">
        <f>IF('Исходные данные'!M7=1,'Исходные данные'!O7,IF('Исходные данные'!M7=2,'Исходные данные'!Q7,IF('Исходные данные'!M7=3,'Исходные данные'!P7,IF('Исходные данные'!M7=4,'Исходные данные'!Q7,"---"))))</f>
        <v>---</v>
      </c>
      <c r="P8">
        <f>IF('Исходные данные'!M7=1,IF(AND(160&lt;=D8,D8&lt;310),1,IF(AND(310&lt;=D8,D8&lt;460),2,IF(AND(460&lt;=D8,D8&lt;610),3,IF(AND(610&lt;=D8,D8&lt;760),4,IF(AND(760&lt;=D8,D8&lt;910),5,IF(AND(910&lt;=D8,D8&lt;1060),6,IF(AND(1060&lt;=D8,D8&lt;1210),7,IF(AND(1210&lt;=D8,D8&lt;1360),8,IF(AND(1360&lt;=D8,D8&lt;1510),9,IF(AND(1510&lt;=D8,D8&lt;1660),10,IF(AND(1660&lt;=D8,D8&lt;1810),11,IF(AND(1810&lt;=D8,D8&lt;1960),12,IF(AND(1960&lt;=D8,D8&lt;2110),13,IF(AND(2110&lt;=D8,D8&lt;2260),14,IF(AND(2260&lt;=D8,D8&lt;2410),15,IF(AND(2410&lt;=D8,D8&lt;2500),16,"---")))))))))))))))),IF('Исходные данные'!M7=3,IF(AND(160&lt;=D8,D8&lt;310),1,IF(AND(310&lt;=D8,D8&lt;460),2,IF(AND(460&lt;=D8,D8&lt;610),3,IF(AND(610&lt;=D8,D8&lt;760),4,IF(AND(760&lt;=D8,D8&lt;910),5,IF(AND(910&lt;=D8,D8&lt;1060),6,IF(AND(1060&lt;=D8,D8&lt;1210),7,IF(AND(1210&lt;=D8,D8&lt;1360),8,IF(AND(1360&lt;=D8,D8&lt;1510),9,IF(AND(1510&lt;=D8,D8&lt;1660),10,IF(AND(1660&lt;=D8,D8&lt;1810),11,IF(AND(1810&lt;=D8,D8&lt;1960),12,IF(AND(1960&lt;=D8,D8&lt;2110),13,IF(AND(2110&lt;=D8,D8&lt;2260),14,IF(AND(2260&lt;=D8,D8&lt;2410),15,IF(AND(2410&lt;=D8,D8&lt;2500),16,"---")))))))))))))))),0))</f>
        <v>0</v>
      </c>
      <c r="Q8" s="382">
        <f>IF('Исходные данные'!M7=2,IF(AND(175&lt;=D8,D8&lt;325),1,IF(AND(325&lt;=D8,D8&lt;475),2,IF(AND(475&lt;=D8,D8&lt;625),3,IF(AND(625&lt;=D8,D8&lt;775),4,IF(AND(775&lt;=D8,D8&lt;925),5,IF(AND(925&lt;=D8,D8&lt;1075),6,IF(AND(1075&lt;=D8,D8&lt;1225),7,IF(AND(1225&lt;=D8,D8&lt;1375),8,IF(AND(1375&lt;=D8,D8&lt;1525),9,IF(AND(1525&lt;=D8,D8&lt;1675),10,IF(AND(1675&lt;=D8,D8&lt;1825),11,IF(AND(1825&lt;=D8,D8&lt;1975),12,IF(AND(1975&lt;=D8,D8&lt;2125),13,IF(AND(2125&lt;=D8,D8&lt;2275),14,IF(AND(2275&lt;=D8,D8&lt;2400),15,IF(AND(2400&lt;=D8,D8&lt;2500),16,"---")))))))))))))))),IF('Исходные данные'!M7=4,IF(AND(175&lt;=D8,D8&lt;325),1,IF(AND(325&lt;=D8,D8&lt;475),2,IF(AND(475&lt;=D8,D8&lt;625),3,IF(AND(625&lt;=D8,D8&lt;775),4,IF(AND(775&lt;=D8,D8&lt;925),5,IF(AND(925&lt;=D8,D8&lt;1075),6,IF(AND(1075&lt;=D8,D8&lt;1225),7,IF(AND(1225&lt;=D8,D8&lt;1375),8,IF(AND(1375&lt;=D8,D8&lt;1525),9,IF(AND(1525&lt;=D8,D8&lt;1675),10,IF(AND(1675&lt;=D8,D8&lt;1825),11,IF(AND(1825&lt;=D8,D8&lt;1975),12,IF(AND(1975&lt;=D8,D8&lt;2125),13,IF(AND(2125&lt;=D8,D8&lt;2275),14,IF(AND(2275&lt;=D8,D8&lt;2400),15,IF(AND(2400&lt;=D8,D8&lt;2500),16,"---")))))))))))))))),0))</f>
        <v>0</v>
      </c>
      <c r="R8" s="52">
        <f>IF(OR('Исходные данные'!M7=1,'Исходные данные'!M7=3),P8,Q8)</f>
        <v>0</v>
      </c>
      <c r="S8">
        <f>P8*'Исходные данные'!H7</f>
        <v>0</v>
      </c>
      <c r="T8">
        <f>IF('Исходные данные'!M7=1,IF(D8&lt;=180,2.54,IF(D8&lt;=300,3.34,IF(D8&lt;=495,2.95,IF(D8&lt;=815,3.15,IF(D8&lt;=1115,3.39,IF(D8&lt;=2400,4.96,"---")))))),IF('Исходные данные'!M7=3,IF(D8&lt;=180,2.54,IF(D8&lt;=300,3.34,IF(D8&lt;=495,2.95,IF(D8&lt;=815,3.15,IF(D8&lt;=1115,3.39,IF(D8&lt;=2400,4.96,0)))))),0))*'Исходные данные'!H7</f>
        <v>0</v>
      </c>
      <c r="U8">
        <f>IF('Исходные данные'!M7=1,IF(D8&lt;=180,2.09,IF(D8&lt;=875,2.14,IF(D8&lt;=1155,2.41,IF(D8&lt;=1215,2.87,IF(D8&lt;=1385,3.05,IF(D8&lt;=1700,3.13,IF(D8&lt;=2400,4.37,0))))))),0)*'Исходные данные'!H7</f>
        <v>0</v>
      </c>
      <c r="V8">
        <f>IFERROR(INDEX(reg_table!B:B,MATCH(CONCATENATE(D8,"X",F8),reg_table!A:A,0)) *'Исходные данные'!H7, 0)</f>
        <v>0</v>
      </c>
      <c r="W8">
        <f>ROUNDDOWN((('Исходные данные'!F7-160)/140),0)</f>
        <v>-1</v>
      </c>
      <c r="X8">
        <f>('Исходные данные'!F7-160)/140</f>
        <v>-1.1428571428571428</v>
      </c>
      <c r="Y8" s="356">
        <f>IF(X8-W8=0,ROUNDDOWN(('Исходные данные'!F7-160)/140,0),ROUNDDOWN(('Исходные данные'!F7-160)/140,0)+1)</f>
        <v>0</v>
      </c>
      <c r="Z8">
        <f>('Исходные данные'!F7-170)/150</f>
        <v>-1.1333333333333333</v>
      </c>
      <c r="AA8">
        <f>ROUNDDOWN((('Исходные данные'!F7-170)/150),0)</f>
        <v>-1</v>
      </c>
      <c r="AB8" s="356">
        <f>IF(Z8-AA8=0,ROUNDDOWN(('Исходные данные'!F7-170)/150,0),ROUNDDOWN(('Исходные данные'!F7-170)/150,0)+1)</f>
        <v>0</v>
      </c>
    </row>
    <row r="9" spans="1:37">
      <c r="A9" s="41">
        <f>'Исходные данные'!B8</f>
        <v>0</v>
      </c>
      <c r="B9" s="15">
        <f>'Исходные данные'!C8</f>
        <v>0</v>
      </c>
      <c r="C9" s="16">
        <f>'Исходные данные'!D8</f>
        <v>0</v>
      </c>
      <c r="D9" s="40" t="str">
        <f>IF('Исходные данные'!C8='Исходные данные'!$M$1,'Исходные данные'!F8,IF('Исходные данные'!C8='Исходные данные'!$M$2,'Исходные данные'!F8,"---"))</f>
        <v>---</v>
      </c>
      <c r="E9" s="40" t="str">
        <f>IF('Исходные данные'!S8=252,"---",IF('Исходные данные'!S8=232,"KCKP",IF('Исходные данные'!S8=212,"KCKP-N","--")))</f>
        <v>--</v>
      </c>
      <c r="F9" s="85">
        <f>IF('Исходные данные'!M8=2,'Исходные данные'!G8,IF('Исходные данные'!M8=4,'Исходные данные'!G8,'Исходные данные'!I8))</f>
        <v>0</v>
      </c>
      <c r="G9" s="40">
        <f>IF('Исходные данные'!M8=1,'Исходные данные'!H8*2,IF('Исходные данные'!M8=3,'Исходные данные'!H8*2,'Исходные данные'!H8))</f>
        <v>0</v>
      </c>
      <c r="H9" s="40" t="s">
        <v>9</v>
      </c>
      <c r="I9" s="40" t="str">
        <f>IF('Исходные данные'!M8=1,G9,"---")</f>
        <v>---</v>
      </c>
      <c r="J9" s="383" t="str">
        <f>IF('Исходные данные'!L8=1,"ОЦ",IF('Исходные данные'!L8=2,"нерж",IF('Исходные данные'!L8=3,"ОЦ",IF('Исходные данные'!L8=4,"краш","---"))))</f>
        <v>---</v>
      </c>
      <c r="K9" s="68"/>
      <c r="L9" s="1"/>
      <c r="M9" s="1"/>
      <c r="N9" s="1"/>
      <c r="O9" s="42" t="str">
        <f>IF('Исходные данные'!M8=1,'Исходные данные'!O8,IF('Исходные данные'!M8=2,'Исходные данные'!Q8,IF('Исходные данные'!M8=3,'Исходные данные'!P8,IF('Исходные данные'!M8=4,'Исходные данные'!Q8,"---"))))</f>
        <v>---</v>
      </c>
      <c r="P9">
        <f>IF('Исходные данные'!M8=1,IF(AND(160&lt;=D9,D9&lt;310),1,IF(AND(310&lt;=D9,D9&lt;460),2,IF(AND(460&lt;=D9,D9&lt;610),3,IF(AND(610&lt;=D9,D9&lt;760),4,IF(AND(760&lt;=D9,D9&lt;910),5,IF(AND(910&lt;=D9,D9&lt;1060),6,IF(AND(1060&lt;=D9,D9&lt;1210),7,IF(AND(1210&lt;=D9,D9&lt;1360),8,IF(AND(1360&lt;=D9,D9&lt;1510),9,IF(AND(1510&lt;=D9,D9&lt;1660),10,IF(AND(1660&lt;=D9,D9&lt;1810),11,IF(AND(1810&lt;=D9,D9&lt;1960),12,IF(AND(1960&lt;=D9,D9&lt;2110),13,IF(AND(2110&lt;=D9,D9&lt;2260),14,IF(AND(2260&lt;=D9,D9&lt;2410),15,IF(AND(2410&lt;=D9,D9&lt;2500),16,"---")))))))))))))))),IF('Исходные данные'!M8=3,IF(AND(160&lt;=D9,D9&lt;310),1,IF(AND(310&lt;=D9,D9&lt;460),2,IF(AND(460&lt;=D9,D9&lt;610),3,IF(AND(610&lt;=D9,D9&lt;760),4,IF(AND(760&lt;=D9,D9&lt;910),5,IF(AND(910&lt;=D9,D9&lt;1060),6,IF(AND(1060&lt;=D9,D9&lt;1210),7,IF(AND(1210&lt;=D9,D9&lt;1360),8,IF(AND(1360&lt;=D9,D9&lt;1510),9,IF(AND(1510&lt;=D9,D9&lt;1660),10,IF(AND(1660&lt;=D9,D9&lt;1810),11,IF(AND(1810&lt;=D9,D9&lt;1960),12,IF(AND(1960&lt;=D9,D9&lt;2110),13,IF(AND(2110&lt;=D9,D9&lt;2260),14,IF(AND(2260&lt;=D9,D9&lt;2410),15,IF(AND(2410&lt;=D9,D9&lt;2500),16,"---")))))))))))))))),0))</f>
        <v>0</v>
      </c>
      <c r="Q9" s="382">
        <f>IF('Исходные данные'!M8=2,IF(AND(175&lt;=D9,D9&lt;325),1,IF(AND(325&lt;=D9,D9&lt;475),2,IF(AND(475&lt;=D9,D9&lt;625),3,IF(AND(625&lt;=D9,D9&lt;775),4,IF(AND(775&lt;=D9,D9&lt;925),5,IF(AND(925&lt;=D9,D9&lt;1075),6,IF(AND(1075&lt;=D9,D9&lt;1225),7,IF(AND(1225&lt;=D9,D9&lt;1375),8,IF(AND(1375&lt;=D9,D9&lt;1525),9,IF(AND(1525&lt;=D9,D9&lt;1675),10,IF(AND(1675&lt;=D9,D9&lt;1825),11,IF(AND(1825&lt;=D9,D9&lt;1975),12,IF(AND(1975&lt;=D9,D9&lt;2125),13,IF(AND(2125&lt;=D9,D9&lt;2275),14,IF(AND(2275&lt;=D9,D9&lt;2400),15,IF(AND(2400&lt;=D9,D9&lt;2500),16,"---")))))))))))))))),IF('Исходные данные'!M8=4,IF(AND(175&lt;=D9,D9&lt;325),1,IF(AND(325&lt;=D9,D9&lt;475),2,IF(AND(475&lt;=D9,D9&lt;625),3,IF(AND(625&lt;=D9,D9&lt;775),4,IF(AND(775&lt;=D9,D9&lt;925),5,IF(AND(925&lt;=D9,D9&lt;1075),6,IF(AND(1075&lt;=D9,D9&lt;1225),7,IF(AND(1225&lt;=D9,D9&lt;1375),8,IF(AND(1375&lt;=D9,D9&lt;1525),9,IF(AND(1525&lt;=D9,D9&lt;1675),10,IF(AND(1675&lt;=D9,D9&lt;1825),11,IF(AND(1825&lt;=D9,D9&lt;1975),12,IF(AND(1975&lt;=D9,D9&lt;2125),13,IF(AND(2125&lt;=D9,D9&lt;2275),14,IF(AND(2275&lt;=D9,D9&lt;2400),15,IF(AND(2400&lt;=D9,D9&lt;2500),16,"---")))))))))))))))),0))</f>
        <v>0</v>
      </c>
      <c r="R9" s="52">
        <f>IF(OR('Исходные данные'!M8=1,'Исходные данные'!M8=3),P9,Q9)</f>
        <v>0</v>
      </c>
      <c r="S9">
        <f>P9*'Исходные данные'!H8</f>
        <v>0</v>
      </c>
      <c r="T9">
        <f>IF('Исходные данные'!M8=1,IF(D9&lt;=180,2.54,IF(D9&lt;=300,3.34,IF(D9&lt;=495,2.95,IF(D9&lt;=815,3.15,IF(D9&lt;=1115,3.39,IF(D9&lt;=2400,4.96,"---")))))),IF('Исходные данные'!M8=3,IF(D9&lt;=180,2.54,IF(D9&lt;=300,3.34,IF(D9&lt;=495,2.95,IF(D9&lt;=815,3.15,IF(D9&lt;=1115,3.39,IF(D9&lt;=2400,4.96,0)))))),0))*'Исходные данные'!H8</f>
        <v>0</v>
      </c>
      <c r="U9">
        <f>IF('Исходные данные'!M8=1,IF(D9&lt;=180,2.09,IF(D9&lt;=875,2.14,IF(D9&lt;=1155,2.41,IF(D9&lt;=1215,2.87,IF(D9&lt;=1385,3.05,IF(D9&lt;=1700,3.13,IF(D9&lt;=2400,4.37,0))))))),0)*'Исходные данные'!H8</f>
        <v>0</v>
      </c>
      <c r="V9">
        <f>IFERROR(INDEX(reg_table!B:B,MATCH(CONCATENATE(D9,"X",F9),reg_table!A:A,0)) *'Исходные данные'!H8, 0)</f>
        <v>0</v>
      </c>
      <c r="W9">
        <f>ROUNDDOWN((('Исходные данные'!F8-160)/140),0)</f>
        <v>-1</v>
      </c>
      <c r="X9">
        <f>('Исходные данные'!F8-160)/140</f>
        <v>-1.1428571428571428</v>
      </c>
      <c r="Y9" s="356">
        <f>IF(X9-W9=0,ROUNDDOWN(('Исходные данные'!F8-160)/140,0),ROUNDDOWN(('Исходные данные'!F8-160)/140,0)+1)</f>
        <v>0</v>
      </c>
      <c r="Z9">
        <f>('Исходные данные'!F8-170)/150</f>
        <v>-1.1333333333333333</v>
      </c>
      <c r="AA9">
        <f>ROUNDDOWN((('Исходные данные'!F8-170)/150),0)</f>
        <v>-1</v>
      </c>
      <c r="AB9" s="356">
        <f>IF(Z9-AA9=0,ROUNDDOWN(('Исходные данные'!F8-170)/150,0),ROUNDDOWN(('Исходные данные'!F8-170)/150,0)+1)</f>
        <v>0</v>
      </c>
    </row>
    <row r="10" spans="1:37">
      <c r="A10" s="41">
        <f>'Исходные данные'!B9</f>
        <v>0</v>
      </c>
      <c r="B10" s="15">
        <f>'Исходные данные'!C9</f>
        <v>0</v>
      </c>
      <c r="C10" s="16">
        <f>'Исходные данные'!D9</f>
        <v>0</v>
      </c>
      <c r="D10" s="40" t="str">
        <f>IF('Исходные данные'!C9='Исходные данные'!$M$1,'Исходные данные'!F9,IF('Исходные данные'!C9='Исходные данные'!$M$2,'Исходные данные'!F9,"---"))</f>
        <v>---</v>
      </c>
      <c r="E10" s="40" t="str">
        <f>IF('Исходные данные'!S9=252,"---",IF('Исходные данные'!S9=232,"KCKP",IF('Исходные данные'!S9=212,"KCKP-N","--")))</f>
        <v>--</v>
      </c>
      <c r="F10" s="85">
        <f>IF('Исходные данные'!M9=2,'Исходные данные'!G9,IF('Исходные данные'!M9=4,'Исходные данные'!G9,'Исходные данные'!I9))</f>
        <v>0</v>
      </c>
      <c r="G10" s="40">
        <f>IF('Исходные данные'!M9=1,'Исходные данные'!H9*2,IF('Исходные данные'!M9=3,'Исходные данные'!H9*2,'Исходные данные'!H9))</f>
        <v>0</v>
      </c>
      <c r="H10" s="40" t="s">
        <v>9</v>
      </c>
      <c r="I10" s="40" t="str">
        <f>IF('Исходные данные'!M9=1,G10,"---")</f>
        <v>---</v>
      </c>
      <c r="J10" s="383" t="str">
        <f>IF('Исходные данные'!L9=1,"ОЦ",IF('Исходные данные'!L9=2,"нерж",IF('Исходные данные'!L9=3,"ОЦ",IF('Исходные данные'!L9=4,"краш","---"))))</f>
        <v>---</v>
      </c>
      <c r="K10" s="68"/>
      <c r="L10" s="1"/>
      <c r="M10" s="1"/>
      <c r="N10" s="1"/>
      <c r="O10" s="42" t="str">
        <f>IF('Исходные данные'!M9=1,'Исходные данные'!O9,IF('Исходные данные'!M9=2,'Исходные данные'!Q9,IF('Исходные данные'!M9=3,'Исходные данные'!P9,IF('Исходные данные'!M9=4,'Исходные данные'!Q9,"---"))))</f>
        <v>---</v>
      </c>
      <c r="P10">
        <f>IF('Исходные данные'!M9=1,IF(AND(160&lt;=D10,D10&lt;310),1,IF(AND(310&lt;=D10,D10&lt;460),2,IF(AND(460&lt;=D10,D10&lt;610),3,IF(AND(610&lt;=D10,D10&lt;760),4,IF(AND(760&lt;=D10,D10&lt;910),5,IF(AND(910&lt;=D10,D10&lt;1060),6,IF(AND(1060&lt;=D10,D10&lt;1210),7,IF(AND(1210&lt;=D10,D10&lt;1360),8,IF(AND(1360&lt;=D10,D10&lt;1510),9,IF(AND(1510&lt;=D10,D10&lt;1660),10,IF(AND(1660&lt;=D10,D10&lt;1810),11,IF(AND(1810&lt;=D10,D10&lt;1960),12,IF(AND(1960&lt;=D10,D10&lt;2110),13,IF(AND(2110&lt;=D10,D10&lt;2260),14,IF(AND(2260&lt;=D10,D10&lt;2410),15,IF(AND(2410&lt;=D10,D10&lt;2500),16,"---")))))))))))))))),IF('Исходные данные'!M9=3,IF(AND(160&lt;=D10,D10&lt;310),1,IF(AND(310&lt;=D10,D10&lt;460),2,IF(AND(460&lt;=D10,D10&lt;610),3,IF(AND(610&lt;=D10,D10&lt;760),4,IF(AND(760&lt;=D10,D10&lt;910),5,IF(AND(910&lt;=D10,D10&lt;1060),6,IF(AND(1060&lt;=D10,D10&lt;1210),7,IF(AND(1210&lt;=D10,D10&lt;1360),8,IF(AND(1360&lt;=D10,D10&lt;1510),9,IF(AND(1510&lt;=D10,D10&lt;1660),10,IF(AND(1660&lt;=D10,D10&lt;1810),11,IF(AND(1810&lt;=D10,D10&lt;1960),12,IF(AND(1960&lt;=D10,D10&lt;2110),13,IF(AND(2110&lt;=D10,D10&lt;2260),14,IF(AND(2260&lt;=D10,D10&lt;2410),15,IF(AND(2410&lt;=D10,D10&lt;2500),16,"---")))))))))))))))),0))</f>
        <v>0</v>
      </c>
      <c r="Q10" s="382">
        <f>IF('Исходные данные'!M9=2,IF(AND(175&lt;=D10,D10&lt;325),1,IF(AND(325&lt;=D10,D10&lt;475),2,IF(AND(475&lt;=D10,D10&lt;625),3,IF(AND(625&lt;=D10,D10&lt;775),4,IF(AND(775&lt;=D10,D10&lt;925),5,IF(AND(925&lt;=D10,D10&lt;1075),6,IF(AND(1075&lt;=D10,D10&lt;1225),7,IF(AND(1225&lt;=D10,D10&lt;1375),8,IF(AND(1375&lt;=D10,D10&lt;1525),9,IF(AND(1525&lt;=D10,D10&lt;1675),10,IF(AND(1675&lt;=D10,D10&lt;1825),11,IF(AND(1825&lt;=D10,D10&lt;1975),12,IF(AND(1975&lt;=D10,D10&lt;2125),13,IF(AND(2125&lt;=D10,D10&lt;2275),14,IF(AND(2275&lt;=D10,D10&lt;2400),15,IF(AND(2400&lt;=D10,D10&lt;2500),16,"---")))))))))))))))),IF('Исходные данные'!M9=4,IF(AND(175&lt;=D10,D10&lt;325),1,IF(AND(325&lt;=D10,D10&lt;475),2,IF(AND(475&lt;=D10,D10&lt;625),3,IF(AND(625&lt;=D10,D10&lt;775),4,IF(AND(775&lt;=D10,D10&lt;925),5,IF(AND(925&lt;=D10,D10&lt;1075),6,IF(AND(1075&lt;=D10,D10&lt;1225),7,IF(AND(1225&lt;=D10,D10&lt;1375),8,IF(AND(1375&lt;=D10,D10&lt;1525),9,IF(AND(1525&lt;=D10,D10&lt;1675),10,IF(AND(1675&lt;=D10,D10&lt;1825),11,IF(AND(1825&lt;=D10,D10&lt;1975),12,IF(AND(1975&lt;=D10,D10&lt;2125),13,IF(AND(2125&lt;=D10,D10&lt;2275),14,IF(AND(2275&lt;=D10,D10&lt;2400),15,IF(AND(2400&lt;=D10,D10&lt;2500),16,"---")))))))))))))))),0))</f>
        <v>0</v>
      </c>
      <c r="R10" s="52">
        <f>IF(OR('Исходные данные'!M9=1,'Исходные данные'!M9=3),P10,Q10)</f>
        <v>0</v>
      </c>
      <c r="S10">
        <f>P10*'Исходные данные'!H9</f>
        <v>0</v>
      </c>
      <c r="T10">
        <f>IF('Исходные данные'!M9=1,IF(D10&lt;=180,2.54,IF(D10&lt;=300,3.34,IF(D10&lt;=495,2.95,IF(D10&lt;=815,3.15,IF(D10&lt;=1115,3.39,IF(D10&lt;=2400,4.96,"---")))))),IF('Исходные данные'!M9=3,IF(D10&lt;=180,2.54,IF(D10&lt;=300,3.34,IF(D10&lt;=495,2.95,IF(D10&lt;=815,3.15,IF(D10&lt;=1115,3.39,IF(D10&lt;=2400,4.96,0)))))),0))*'Исходные данные'!H9</f>
        <v>0</v>
      </c>
      <c r="U10">
        <f>IF('Исходные данные'!M9=1,IF(D10&lt;=180,2.09,IF(D10&lt;=875,2.14,IF(D10&lt;=1155,2.41,IF(D10&lt;=1215,2.87,IF(D10&lt;=1385,3.05,IF(D10&lt;=1700,3.13,IF(D10&lt;=2400,4.37,0))))))),0)*'Исходные данные'!H9</f>
        <v>0</v>
      </c>
      <c r="V10">
        <f>IFERROR(INDEX(reg_table!B:B,MATCH(CONCATENATE(D10,"X",F10),reg_table!A:A,0)) *'Исходные данные'!H9, 0)</f>
        <v>0</v>
      </c>
      <c r="W10">
        <f>ROUNDDOWN((('Исходные данные'!F9-160)/140),0)</f>
        <v>-1</v>
      </c>
      <c r="X10">
        <f>('Исходные данные'!F9-160)/140</f>
        <v>-1.1428571428571428</v>
      </c>
      <c r="Y10" s="356">
        <f>IF(X10-W10=0,ROUNDDOWN(('Исходные данные'!F9-160)/140,0),ROUNDDOWN(('Исходные данные'!F9-160)/140,0)+1)</f>
        <v>0</v>
      </c>
      <c r="Z10">
        <f>('Исходные данные'!F9-170)/150</f>
        <v>-1.1333333333333333</v>
      </c>
      <c r="AA10">
        <f>ROUNDDOWN((('Исходные данные'!F9-170)/150),0)</f>
        <v>-1</v>
      </c>
      <c r="AB10" s="356">
        <f>IF(Z10-AA10=0,ROUNDDOWN(('Исходные данные'!F9-170)/150,0),ROUNDDOWN(('Исходные данные'!F9-170)/150,0)+1)</f>
        <v>0</v>
      </c>
    </row>
    <row r="11" spans="1:37">
      <c r="A11" s="41">
        <f>'Исходные данные'!B10</f>
        <v>0</v>
      </c>
      <c r="B11" s="15">
        <f>'Исходные данные'!C10</f>
        <v>0</v>
      </c>
      <c r="C11" s="16">
        <f>'Исходные данные'!D10</f>
        <v>0</v>
      </c>
      <c r="D11" s="40" t="str">
        <f>IF('Исходные данные'!C10='Исходные данные'!$M$1,'Исходные данные'!F10,IF('Исходные данные'!C10='Исходные данные'!$M$2,'Исходные данные'!F10,"---"))</f>
        <v>---</v>
      </c>
      <c r="E11" s="40" t="str">
        <f>IF('Исходные данные'!S10=252,"---",IF('Исходные данные'!S10=232,"KCKP",IF('Исходные данные'!S10=212,"KCKP-N","--")))</f>
        <v>--</v>
      </c>
      <c r="F11" s="85">
        <f>IF('Исходные данные'!M10=2,'Исходные данные'!G10,IF('Исходные данные'!M10=4,'Исходные данные'!G10,'Исходные данные'!I10))</f>
        <v>0</v>
      </c>
      <c r="G11" s="40">
        <f>IF('Исходные данные'!M10=1,'Исходные данные'!H10*2,IF('Исходные данные'!M10=3,'Исходные данные'!H10*2,'Исходные данные'!H10))</f>
        <v>0</v>
      </c>
      <c r="H11" s="40" t="s">
        <v>9</v>
      </c>
      <c r="I11" s="40" t="str">
        <f>IF('Исходные данные'!M10=1,G11,"---")</f>
        <v>---</v>
      </c>
      <c r="J11" s="383" t="str">
        <f>IF('Исходные данные'!L10=1,"ОЦ",IF('Исходные данные'!L10=2,"нерж",IF('Исходные данные'!L10=3,"ОЦ",IF('Исходные данные'!L10=4,"краш","---"))))</f>
        <v>---</v>
      </c>
      <c r="K11" s="68"/>
      <c r="L11" s="1"/>
      <c r="M11" s="1"/>
      <c r="N11" s="1"/>
      <c r="O11" s="42" t="str">
        <f>IF('Исходные данные'!M10=1,'Исходные данные'!O10,IF('Исходные данные'!M10=2,'Исходные данные'!Q10,IF('Исходные данные'!M10=3,'Исходные данные'!P10,IF('Исходные данные'!M10=4,'Исходные данные'!Q10,"---"))))</f>
        <v>---</v>
      </c>
      <c r="P11">
        <f>IF('Исходные данные'!M10=1,IF(AND(160&lt;=D11,D11&lt;310),1,IF(AND(310&lt;=D11,D11&lt;460),2,IF(AND(460&lt;=D11,D11&lt;610),3,IF(AND(610&lt;=D11,D11&lt;760),4,IF(AND(760&lt;=D11,D11&lt;910),5,IF(AND(910&lt;=D11,D11&lt;1060),6,IF(AND(1060&lt;=D11,D11&lt;1210),7,IF(AND(1210&lt;=D11,D11&lt;1360),8,IF(AND(1360&lt;=D11,D11&lt;1510),9,IF(AND(1510&lt;=D11,D11&lt;1660),10,IF(AND(1660&lt;=D11,D11&lt;1810),11,IF(AND(1810&lt;=D11,D11&lt;1960),12,IF(AND(1960&lt;=D11,D11&lt;2110),13,IF(AND(2110&lt;=D11,D11&lt;2260),14,IF(AND(2260&lt;=D11,D11&lt;2410),15,IF(AND(2410&lt;=D11,D11&lt;2500),16,"---")))))))))))))))),IF('Исходные данные'!M10=3,IF(AND(160&lt;=D11,D11&lt;310),1,IF(AND(310&lt;=D11,D11&lt;460),2,IF(AND(460&lt;=D11,D11&lt;610),3,IF(AND(610&lt;=D11,D11&lt;760),4,IF(AND(760&lt;=D11,D11&lt;910),5,IF(AND(910&lt;=D11,D11&lt;1060),6,IF(AND(1060&lt;=D11,D11&lt;1210),7,IF(AND(1210&lt;=D11,D11&lt;1360),8,IF(AND(1360&lt;=D11,D11&lt;1510),9,IF(AND(1510&lt;=D11,D11&lt;1660),10,IF(AND(1660&lt;=D11,D11&lt;1810),11,IF(AND(1810&lt;=D11,D11&lt;1960),12,IF(AND(1960&lt;=D11,D11&lt;2110),13,IF(AND(2110&lt;=D11,D11&lt;2260),14,IF(AND(2260&lt;=D11,D11&lt;2410),15,IF(AND(2410&lt;=D11,D11&lt;2500),16,"---")))))))))))))))),0))</f>
        <v>0</v>
      </c>
      <c r="Q11" s="382">
        <f>IF('Исходные данные'!M10=2,IF(AND(175&lt;=D11,D11&lt;325),1,IF(AND(325&lt;=D11,D11&lt;475),2,IF(AND(475&lt;=D11,D11&lt;625),3,IF(AND(625&lt;=D11,D11&lt;775),4,IF(AND(775&lt;=D11,D11&lt;925),5,IF(AND(925&lt;=D11,D11&lt;1075),6,IF(AND(1075&lt;=D11,D11&lt;1225),7,IF(AND(1225&lt;=D11,D11&lt;1375),8,IF(AND(1375&lt;=D11,D11&lt;1525),9,IF(AND(1525&lt;=D11,D11&lt;1675),10,IF(AND(1675&lt;=D11,D11&lt;1825),11,IF(AND(1825&lt;=D11,D11&lt;1975),12,IF(AND(1975&lt;=D11,D11&lt;2125),13,IF(AND(2125&lt;=D11,D11&lt;2275),14,IF(AND(2275&lt;=D11,D11&lt;2400),15,IF(AND(2400&lt;=D11,D11&lt;2500),16,"---")))))))))))))))),IF('Исходные данные'!M10=4,IF(AND(175&lt;=D11,D11&lt;325),1,IF(AND(325&lt;=D11,D11&lt;475),2,IF(AND(475&lt;=D11,D11&lt;625),3,IF(AND(625&lt;=D11,D11&lt;775),4,IF(AND(775&lt;=D11,D11&lt;925),5,IF(AND(925&lt;=D11,D11&lt;1075),6,IF(AND(1075&lt;=D11,D11&lt;1225),7,IF(AND(1225&lt;=D11,D11&lt;1375),8,IF(AND(1375&lt;=D11,D11&lt;1525),9,IF(AND(1525&lt;=D11,D11&lt;1675),10,IF(AND(1675&lt;=D11,D11&lt;1825),11,IF(AND(1825&lt;=D11,D11&lt;1975),12,IF(AND(1975&lt;=D11,D11&lt;2125),13,IF(AND(2125&lt;=D11,D11&lt;2275),14,IF(AND(2275&lt;=D11,D11&lt;2400),15,IF(AND(2400&lt;=D11,D11&lt;2500),16,"---")))))))))))))))),0))</f>
        <v>0</v>
      </c>
      <c r="R11" s="52">
        <f>IF(OR('Исходные данные'!M10=1,'Исходные данные'!M10=3),P11,Q11)</f>
        <v>0</v>
      </c>
      <c r="S11">
        <f>P11*'Исходные данные'!H10</f>
        <v>0</v>
      </c>
      <c r="T11">
        <f>IF('Исходные данные'!M10=1,IF(D11&lt;=180,2.54,IF(D11&lt;=300,3.34,IF(D11&lt;=495,2.95,IF(D11&lt;=815,3.15,IF(D11&lt;=1115,3.39,IF(D11&lt;=2400,4.96,"---")))))),IF('Исходные данные'!M10=3,IF(D11&lt;=180,2.54,IF(D11&lt;=300,3.34,IF(D11&lt;=495,2.95,IF(D11&lt;=815,3.15,IF(D11&lt;=1115,3.39,IF(D11&lt;=2400,4.96,0)))))),0))*'Исходные данные'!H10</f>
        <v>0</v>
      </c>
      <c r="U11">
        <f>IF('Исходные данные'!M10=1,IF(D11&lt;=180,2.09,IF(D11&lt;=875,2.14,IF(D11&lt;=1155,2.41,IF(D11&lt;=1215,2.87,IF(D11&lt;=1385,3.05,IF(D11&lt;=1700,3.13,IF(D11&lt;=2400,4.37,0))))))),0)*'Исходные данные'!H10</f>
        <v>0</v>
      </c>
      <c r="V11">
        <f>IFERROR(INDEX(reg_table!B:B,MATCH(CONCATENATE(D11,"X",F11),reg_table!A:A,0)) *'Исходные данные'!H10, 0)</f>
        <v>0</v>
      </c>
      <c r="W11">
        <f>ROUNDDOWN((('Исходные данные'!F10-160)/140),0)</f>
        <v>-1</v>
      </c>
      <c r="X11">
        <f>('Исходные данные'!F10-160)/140</f>
        <v>-1.1428571428571428</v>
      </c>
      <c r="Y11" s="356">
        <f>IF(X11-W11=0,ROUNDDOWN(('Исходные данные'!F10-160)/140,0),ROUNDDOWN(('Исходные данные'!F10-160)/140,0)+1)</f>
        <v>0</v>
      </c>
      <c r="Z11">
        <f>('Исходные данные'!F10-170)/150</f>
        <v>-1.1333333333333333</v>
      </c>
      <c r="AA11">
        <f>ROUNDDOWN((('Исходные данные'!F10-170)/150),0)</f>
        <v>-1</v>
      </c>
      <c r="AB11" s="356">
        <f>IF(Z11-AA11=0,ROUNDDOWN(('Исходные данные'!F10-170)/150,0),ROUNDDOWN(('Исходные данные'!F10-170)/150,0)+1)</f>
        <v>0</v>
      </c>
    </row>
    <row r="12" spans="1:37">
      <c r="A12" s="41">
        <f>'Исходные данные'!B11</f>
        <v>0</v>
      </c>
      <c r="B12" s="15">
        <f>'Исходные данные'!C11</f>
        <v>0</v>
      </c>
      <c r="C12" s="16">
        <f>'Исходные данные'!D11</f>
        <v>0</v>
      </c>
      <c r="D12" s="40" t="str">
        <f>IF('Исходные данные'!C11='Исходные данные'!$M$1,'Исходные данные'!F11,IF('Исходные данные'!C11='Исходные данные'!$M$2,'Исходные данные'!F11,"---"))</f>
        <v>---</v>
      </c>
      <c r="E12" s="40" t="str">
        <f>IF('Исходные данные'!S11=252,"---",IF('Исходные данные'!S11=232,"KCKP",IF('Исходные данные'!S11=212,"KCKP-N","--")))</f>
        <v>--</v>
      </c>
      <c r="F12" s="85">
        <f>IF('Исходные данные'!M11=2,'Исходные данные'!G11,IF('Исходные данные'!M11=4,'Исходные данные'!G11,'Исходные данные'!I11))</f>
        <v>0</v>
      </c>
      <c r="G12" s="40">
        <f>IF('Исходные данные'!M11=1,'Исходные данные'!H11*2,IF('Исходные данные'!M11=3,'Исходные данные'!H11*2,'Исходные данные'!H11))</f>
        <v>0</v>
      </c>
      <c r="H12" s="40" t="s">
        <v>9</v>
      </c>
      <c r="I12" s="40" t="str">
        <f>IF('Исходные данные'!M11=1,G12,"---")</f>
        <v>---</v>
      </c>
      <c r="J12" s="383" t="str">
        <f>IF('Исходные данные'!L11=1,"ОЦ",IF('Исходные данные'!L11=2,"нерж",IF('Исходные данные'!L11=3,"ОЦ",IF('Исходные данные'!L11=4,"краш","---"))))</f>
        <v>---</v>
      </c>
      <c r="K12" s="68"/>
      <c r="L12" s="1"/>
      <c r="M12" s="1"/>
      <c r="N12" s="1"/>
      <c r="O12" s="42" t="str">
        <f>IF('Исходные данные'!M11=1,'Исходные данные'!O11,IF('Исходные данные'!M11=2,'Исходные данные'!Q11,IF('Исходные данные'!M11=3,'Исходные данные'!P11,IF('Исходные данные'!M11=4,'Исходные данные'!Q11,"---"))))</f>
        <v>---</v>
      </c>
      <c r="P12">
        <f>IF('Исходные данные'!M11=1,IF(AND(160&lt;=D12,D12&lt;310),1,IF(AND(310&lt;=D12,D12&lt;460),2,IF(AND(460&lt;=D12,D12&lt;610),3,IF(AND(610&lt;=D12,D12&lt;760),4,IF(AND(760&lt;=D12,D12&lt;910),5,IF(AND(910&lt;=D12,D12&lt;1060),6,IF(AND(1060&lt;=D12,D12&lt;1210),7,IF(AND(1210&lt;=D12,D12&lt;1360),8,IF(AND(1360&lt;=D12,D12&lt;1510),9,IF(AND(1510&lt;=D12,D12&lt;1660),10,IF(AND(1660&lt;=D12,D12&lt;1810),11,IF(AND(1810&lt;=D12,D12&lt;1960),12,IF(AND(1960&lt;=D12,D12&lt;2110),13,IF(AND(2110&lt;=D12,D12&lt;2260),14,IF(AND(2260&lt;=D12,D12&lt;2410),15,IF(AND(2410&lt;=D12,D12&lt;2500),16,"---")))))))))))))))),IF('Исходные данные'!M11=3,IF(AND(160&lt;=D12,D12&lt;310),1,IF(AND(310&lt;=D12,D12&lt;460),2,IF(AND(460&lt;=D12,D12&lt;610),3,IF(AND(610&lt;=D12,D12&lt;760),4,IF(AND(760&lt;=D12,D12&lt;910),5,IF(AND(910&lt;=D12,D12&lt;1060),6,IF(AND(1060&lt;=D12,D12&lt;1210),7,IF(AND(1210&lt;=D12,D12&lt;1360),8,IF(AND(1360&lt;=D12,D12&lt;1510),9,IF(AND(1510&lt;=D12,D12&lt;1660),10,IF(AND(1660&lt;=D12,D12&lt;1810),11,IF(AND(1810&lt;=D12,D12&lt;1960),12,IF(AND(1960&lt;=D12,D12&lt;2110),13,IF(AND(2110&lt;=D12,D12&lt;2260),14,IF(AND(2260&lt;=D12,D12&lt;2410),15,IF(AND(2410&lt;=D12,D12&lt;2500),16,"---")))))))))))))))),0))</f>
        <v>0</v>
      </c>
      <c r="Q12" s="382">
        <f>IF('Исходные данные'!M11=2,IF(AND(175&lt;=D12,D12&lt;325),1,IF(AND(325&lt;=D12,D12&lt;475),2,IF(AND(475&lt;=D12,D12&lt;625),3,IF(AND(625&lt;=D12,D12&lt;775),4,IF(AND(775&lt;=D12,D12&lt;925),5,IF(AND(925&lt;=D12,D12&lt;1075),6,IF(AND(1075&lt;=D12,D12&lt;1225),7,IF(AND(1225&lt;=D12,D12&lt;1375),8,IF(AND(1375&lt;=D12,D12&lt;1525),9,IF(AND(1525&lt;=D12,D12&lt;1675),10,IF(AND(1675&lt;=D12,D12&lt;1825),11,IF(AND(1825&lt;=D12,D12&lt;1975),12,IF(AND(1975&lt;=D12,D12&lt;2125),13,IF(AND(2125&lt;=D12,D12&lt;2275),14,IF(AND(2275&lt;=D12,D12&lt;2400),15,IF(AND(2400&lt;=D12,D12&lt;2500),16,"---")))))))))))))))),IF('Исходные данные'!M11=4,IF(AND(175&lt;=D12,D12&lt;325),1,IF(AND(325&lt;=D12,D12&lt;475),2,IF(AND(475&lt;=D12,D12&lt;625),3,IF(AND(625&lt;=D12,D12&lt;775),4,IF(AND(775&lt;=D12,D12&lt;925),5,IF(AND(925&lt;=D12,D12&lt;1075),6,IF(AND(1075&lt;=D12,D12&lt;1225),7,IF(AND(1225&lt;=D12,D12&lt;1375),8,IF(AND(1375&lt;=D12,D12&lt;1525),9,IF(AND(1525&lt;=D12,D12&lt;1675),10,IF(AND(1675&lt;=D12,D12&lt;1825),11,IF(AND(1825&lt;=D12,D12&lt;1975),12,IF(AND(1975&lt;=D12,D12&lt;2125),13,IF(AND(2125&lt;=D12,D12&lt;2275),14,IF(AND(2275&lt;=D12,D12&lt;2400),15,IF(AND(2400&lt;=D12,D12&lt;2500),16,"---")))))))))))))))),0))</f>
        <v>0</v>
      </c>
      <c r="R12" s="52">
        <f>IF(OR('Исходные данные'!M11=1,'Исходные данные'!M11=3),P12,Q12)</f>
        <v>0</v>
      </c>
      <c r="S12">
        <f>P12*'Исходные данные'!H11</f>
        <v>0</v>
      </c>
      <c r="T12">
        <f>IF('Исходные данные'!M11=1,IF(D12&lt;=180,2.54,IF(D12&lt;=300,3.34,IF(D12&lt;=495,2.95,IF(D12&lt;=815,3.15,IF(D12&lt;=1115,3.39,IF(D12&lt;=2400,4.96,"---")))))),IF('Исходные данные'!M11=3,IF(D12&lt;=180,2.54,IF(D12&lt;=300,3.34,IF(D12&lt;=495,2.95,IF(D12&lt;=815,3.15,IF(D12&lt;=1115,3.39,IF(D12&lt;=2400,4.96,0)))))),0))*'Исходные данные'!H11</f>
        <v>0</v>
      </c>
      <c r="U12">
        <f>IF('Исходные данные'!M11=1,IF(D12&lt;=180,2.09,IF(D12&lt;=875,2.14,IF(D12&lt;=1155,2.41,IF(D12&lt;=1215,2.87,IF(D12&lt;=1385,3.05,IF(D12&lt;=1700,3.13,IF(D12&lt;=2400,4.37,0))))))),0)*'Исходные данные'!H11</f>
        <v>0</v>
      </c>
      <c r="V12">
        <f>IFERROR(INDEX(reg_table!B:B,MATCH(CONCATENATE(D12,"X",F12),reg_table!A:A,0)) *'Исходные данные'!H11, 0)</f>
        <v>0</v>
      </c>
      <c r="W12">
        <f>ROUNDDOWN((('Исходные данные'!F11-160)/140),0)</f>
        <v>-1</v>
      </c>
      <c r="X12">
        <f>('Исходные данные'!F11-160)/140</f>
        <v>-1.1428571428571428</v>
      </c>
      <c r="Y12" s="356">
        <f>IF(X12-W12=0,ROUNDDOWN(('Исходные данные'!F11-160)/140,0),ROUNDDOWN(('Исходные данные'!F11-160)/140,0)+1)</f>
        <v>0</v>
      </c>
      <c r="Z12">
        <f>('Исходные данные'!F11-170)/150</f>
        <v>-1.1333333333333333</v>
      </c>
      <c r="AA12">
        <f>ROUNDDOWN((('Исходные данные'!F11-170)/150),0)</f>
        <v>-1</v>
      </c>
      <c r="AB12" s="356">
        <f>IF(Z12-AA12=0,ROUNDDOWN(('Исходные данные'!F11-170)/150,0),ROUNDDOWN(('Исходные данные'!F11-170)/150,0)+1)</f>
        <v>0</v>
      </c>
    </row>
    <row r="13" spans="1:37">
      <c r="A13" s="41">
        <f>'Исходные данные'!B12</f>
        <v>0</v>
      </c>
      <c r="B13" s="15">
        <f>'Исходные данные'!C12</f>
        <v>0</v>
      </c>
      <c r="C13" s="16">
        <f>'Исходные данные'!D12</f>
        <v>0</v>
      </c>
      <c r="D13" s="40" t="str">
        <f>IF('Исходные данные'!C12='Исходные данные'!$M$1,'Исходные данные'!F12,IF('Исходные данные'!C12='Исходные данные'!$M$2,'Исходные данные'!F12,"---"))</f>
        <v>---</v>
      </c>
      <c r="E13" s="40" t="str">
        <f>IF('Исходные данные'!S12=252,"---",IF('Исходные данные'!S12=232,"KCKP",IF('Исходные данные'!S12=212,"KCKP-N","--")))</f>
        <v>--</v>
      </c>
      <c r="F13" s="85" t="str">
        <f>IF('Исходные данные'!M12=2,'Исходные данные'!G12,IF('Исходные данные'!M12=4,'Исходные данные'!G12,'Исходные данные'!I12))</f>
        <v>---</v>
      </c>
      <c r="G13" s="40">
        <f>IF('Исходные данные'!M12=1,'Исходные данные'!H12*2,IF('Исходные данные'!M12=3,'Исходные данные'!H12*2,'Исходные данные'!H12))</f>
        <v>0</v>
      </c>
      <c r="H13" s="40" t="s">
        <v>9</v>
      </c>
      <c r="I13" s="40" t="str">
        <f>IF('Исходные данные'!M12=1,G13,"---")</f>
        <v>---</v>
      </c>
      <c r="J13" s="383" t="str">
        <f>IF('Исходные данные'!L12=1,"ОЦ",IF('Исходные данные'!L12=2,"нерж",IF('Исходные данные'!L12=3,"ОЦ",IF('Исходные данные'!L12=4,"краш","---"))))</f>
        <v>---</v>
      </c>
      <c r="K13" s="68"/>
      <c r="L13" s="1"/>
      <c r="M13" s="1"/>
      <c r="N13" s="1"/>
      <c r="O13" s="42" t="str">
        <f>IF('Исходные данные'!M12=1,'Исходные данные'!O12,IF('Исходные данные'!M12=2,'Исходные данные'!Q12,IF('Исходные данные'!M12=3,'Исходные данные'!P12,IF('Исходные данные'!M12=4,'Исходные данные'!Q12,"---"))))</f>
        <v>---</v>
      </c>
      <c r="P13">
        <f>IF('Исходные данные'!M12=1,IF(AND(160&lt;=D13,D13&lt;310),1,IF(AND(310&lt;=D13,D13&lt;460),2,IF(AND(460&lt;=D13,D13&lt;610),3,IF(AND(610&lt;=D13,D13&lt;760),4,IF(AND(760&lt;=D13,D13&lt;910),5,IF(AND(910&lt;=D13,D13&lt;1060),6,IF(AND(1060&lt;=D13,D13&lt;1210),7,IF(AND(1210&lt;=D13,D13&lt;1360),8,IF(AND(1360&lt;=D13,D13&lt;1510),9,IF(AND(1510&lt;=D13,D13&lt;1660),10,IF(AND(1660&lt;=D13,D13&lt;1810),11,IF(AND(1810&lt;=D13,D13&lt;1960),12,IF(AND(1960&lt;=D13,D13&lt;2110),13,IF(AND(2110&lt;=D13,D13&lt;2260),14,IF(AND(2260&lt;=D13,D13&lt;2410),15,IF(AND(2410&lt;=D13,D13&lt;2500),16,"---")))))))))))))))),IF('Исходные данные'!M12=3,IF(AND(160&lt;=D13,D13&lt;310),1,IF(AND(310&lt;=D13,D13&lt;460),2,IF(AND(460&lt;=D13,D13&lt;610),3,IF(AND(610&lt;=D13,D13&lt;760),4,IF(AND(760&lt;=D13,D13&lt;910),5,IF(AND(910&lt;=D13,D13&lt;1060),6,IF(AND(1060&lt;=D13,D13&lt;1210),7,IF(AND(1210&lt;=D13,D13&lt;1360),8,IF(AND(1360&lt;=D13,D13&lt;1510),9,IF(AND(1510&lt;=D13,D13&lt;1660),10,IF(AND(1660&lt;=D13,D13&lt;1810),11,IF(AND(1810&lt;=D13,D13&lt;1960),12,IF(AND(1960&lt;=D13,D13&lt;2110),13,IF(AND(2110&lt;=D13,D13&lt;2260),14,IF(AND(2260&lt;=D13,D13&lt;2410),15,IF(AND(2410&lt;=D13,D13&lt;2500),16,"---")))))))))))))))),0))</f>
        <v>0</v>
      </c>
      <c r="Q13" s="382">
        <f>IF('Исходные данные'!M12=2,IF(AND(175&lt;=D13,D13&lt;325),1,IF(AND(325&lt;=D13,D13&lt;475),2,IF(AND(475&lt;=D13,D13&lt;625),3,IF(AND(625&lt;=D13,D13&lt;775),4,IF(AND(775&lt;=D13,D13&lt;925),5,IF(AND(925&lt;=D13,D13&lt;1075),6,IF(AND(1075&lt;=D13,D13&lt;1225),7,IF(AND(1225&lt;=D13,D13&lt;1375),8,IF(AND(1375&lt;=D13,D13&lt;1525),9,IF(AND(1525&lt;=D13,D13&lt;1675),10,IF(AND(1675&lt;=D13,D13&lt;1825),11,IF(AND(1825&lt;=D13,D13&lt;1975),12,IF(AND(1975&lt;=D13,D13&lt;2125),13,IF(AND(2125&lt;=D13,D13&lt;2275),14,IF(AND(2275&lt;=D13,D13&lt;2400),15,IF(AND(2400&lt;=D13,D13&lt;2500),16,"---")))))))))))))))),IF('Исходные данные'!M12=4,IF(AND(175&lt;=D13,D13&lt;325),1,IF(AND(325&lt;=D13,D13&lt;475),2,IF(AND(475&lt;=D13,D13&lt;625),3,IF(AND(625&lt;=D13,D13&lt;775),4,IF(AND(775&lt;=D13,D13&lt;925),5,IF(AND(925&lt;=D13,D13&lt;1075),6,IF(AND(1075&lt;=D13,D13&lt;1225),7,IF(AND(1225&lt;=D13,D13&lt;1375),8,IF(AND(1375&lt;=D13,D13&lt;1525),9,IF(AND(1525&lt;=D13,D13&lt;1675),10,IF(AND(1675&lt;=D13,D13&lt;1825),11,IF(AND(1825&lt;=D13,D13&lt;1975),12,IF(AND(1975&lt;=D13,D13&lt;2125),13,IF(AND(2125&lt;=D13,D13&lt;2275),14,IF(AND(2275&lt;=D13,D13&lt;2400),15,IF(AND(2400&lt;=D13,D13&lt;2500),16,"---")))))))))))))))),0))</f>
        <v>0</v>
      </c>
      <c r="R13" s="52">
        <f>IF(OR('Исходные данные'!M12=1,'Исходные данные'!M12=3),P13,Q13)</f>
        <v>0</v>
      </c>
      <c r="S13">
        <f>P13*'Исходные данные'!H12</f>
        <v>0</v>
      </c>
      <c r="T13">
        <f>IF('Исходные данные'!M12=1,IF(D13&lt;=180,2.54,IF(D13&lt;=300,3.34,IF(D13&lt;=495,2.95,IF(D13&lt;=815,3.15,IF(D13&lt;=1115,3.39,IF(D13&lt;=2400,4.96,"---")))))),IF('Исходные данные'!M12=3,IF(D13&lt;=180,2.54,IF(D13&lt;=300,3.34,IF(D13&lt;=495,2.95,IF(D13&lt;=815,3.15,IF(D13&lt;=1115,3.39,IF(D13&lt;=2400,4.96,0)))))),0))*'Исходные данные'!H12</f>
        <v>0</v>
      </c>
      <c r="U13">
        <f>IF('Исходные данные'!M12=1,IF(D13&lt;=180,2.09,IF(D13&lt;=875,2.14,IF(D13&lt;=1155,2.41,IF(D13&lt;=1215,2.87,IF(D13&lt;=1385,3.05,IF(D13&lt;=1700,3.13,IF(D13&lt;=2400,4.37,0))))))),0)*'Исходные данные'!H12</f>
        <v>0</v>
      </c>
      <c r="V13">
        <f>IFERROR(INDEX(reg_table!B:B,MATCH(CONCATENATE(D13,"X",F13),reg_table!A:A,0)) *'Исходные данные'!H12, 0)</f>
        <v>0</v>
      </c>
      <c r="W13">
        <f>ROUNDDOWN((('Исходные данные'!F12-160)/140),0)</f>
        <v>-1</v>
      </c>
      <c r="X13">
        <f>('Исходные данные'!F12-160)/140</f>
        <v>-1.1428571428571428</v>
      </c>
      <c r="Y13" s="356">
        <f>IF(X13-W13=0,ROUNDDOWN(('Исходные данные'!F12-160)/140,0),ROUNDDOWN(('Исходные данные'!F12-160)/140,0)+1)</f>
        <v>0</v>
      </c>
      <c r="Z13">
        <f>('Исходные данные'!F12-170)/150</f>
        <v>-1.1333333333333333</v>
      </c>
      <c r="AA13">
        <f>ROUNDDOWN((('Исходные данные'!F12-170)/150),0)</f>
        <v>-1</v>
      </c>
      <c r="AB13" s="356">
        <f>IF(Z13-AA13=0,ROUNDDOWN(('Исходные данные'!F12-170)/150,0),ROUNDDOWN(('Исходные данные'!F12-170)/150,0)+1)</f>
        <v>0</v>
      </c>
    </row>
    <row r="14" spans="1:37">
      <c r="A14" s="2">
        <f>'Исходные данные'!B13</f>
        <v>0</v>
      </c>
      <c r="B14" s="15">
        <f>'Исходные данные'!C13</f>
        <v>0</v>
      </c>
      <c r="C14" s="16">
        <f>'Исходные данные'!D13</f>
        <v>0</v>
      </c>
      <c r="D14" s="40" t="str">
        <f>IF('Исходные данные'!C13='Исходные данные'!$M$1,'Исходные данные'!F13,IF('Исходные данные'!C13='Исходные данные'!$M$2,'Исходные данные'!F13,"---"))</f>
        <v>---</v>
      </c>
      <c r="E14" s="40" t="str">
        <f>IF('Исходные данные'!S13=252,"---",IF('Исходные данные'!S13=232,"KCKP",IF('Исходные данные'!S13=212,"KCKP-N","--")))</f>
        <v>--</v>
      </c>
      <c r="F14" s="85" t="str">
        <f>IF('Исходные данные'!M13=2,'Исходные данные'!G13,IF('Исходные данные'!M13=4,'Исходные данные'!G13,'Исходные данные'!I13))</f>
        <v>---</v>
      </c>
      <c r="G14" s="40">
        <f>IF('Исходные данные'!M13=1,'Исходные данные'!H13*2,IF('Исходные данные'!M13=3,'Исходные данные'!H13*2,'Исходные данные'!H13))</f>
        <v>0</v>
      </c>
      <c r="H14" s="40" t="s">
        <v>9</v>
      </c>
      <c r="I14" s="40" t="str">
        <f>IF('Исходные данные'!M13=1,G14,"---")</f>
        <v>---</v>
      </c>
      <c r="J14" s="383" t="str">
        <f>IF('Исходные данные'!L13=1,"ОЦ",IF('Исходные данные'!L13=2,"нерж",IF('Исходные данные'!L13=3,"ОЦ",IF('Исходные данные'!L13=4,"краш","---"))))</f>
        <v>---</v>
      </c>
      <c r="K14" s="68"/>
      <c r="L14" s="1"/>
      <c r="M14" s="1"/>
      <c r="N14" s="1"/>
      <c r="O14" s="42" t="str">
        <f>IF('Исходные данные'!M13=1,'Исходные данные'!O13,IF('Исходные данные'!M13=2,'Исходные данные'!Q13,IF('Исходные данные'!M13=3,'Исходные данные'!P13,IF('Исходные данные'!M13=4,'Исходные данные'!Q13,"---"))))</f>
        <v>---</v>
      </c>
      <c r="P14">
        <f>IF('Исходные данные'!M13=1,IF(AND(160&lt;=D14,D14&lt;310),1,IF(AND(310&lt;=D14,D14&lt;460),2,IF(AND(460&lt;=D14,D14&lt;610),3,IF(AND(610&lt;=D14,D14&lt;760),4,IF(AND(760&lt;=D14,D14&lt;910),5,IF(AND(910&lt;=D14,D14&lt;1060),6,IF(AND(1060&lt;=D14,D14&lt;1210),7,IF(AND(1210&lt;=D14,D14&lt;1360),8,IF(AND(1360&lt;=D14,D14&lt;1510),9,IF(AND(1510&lt;=D14,D14&lt;1660),10,IF(AND(1660&lt;=D14,D14&lt;1810),11,IF(AND(1810&lt;=D14,D14&lt;1960),12,IF(AND(1960&lt;=D14,D14&lt;2110),13,IF(AND(2110&lt;=D14,D14&lt;2260),14,IF(AND(2260&lt;=D14,D14&lt;2410),15,IF(AND(2410&lt;=D14,D14&lt;2500),16,"---")))))))))))))))),IF('Исходные данные'!M13=3,IF(AND(160&lt;=D14,D14&lt;310),1,IF(AND(310&lt;=D14,D14&lt;460),2,IF(AND(460&lt;=D14,D14&lt;610),3,IF(AND(610&lt;=D14,D14&lt;760),4,IF(AND(760&lt;=D14,D14&lt;910),5,IF(AND(910&lt;=D14,D14&lt;1060),6,IF(AND(1060&lt;=D14,D14&lt;1210),7,IF(AND(1210&lt;=D14,D14&lt;1360),8,IF(AND(1360&lt;=D14,D14&lt;1510),9,IF(AND(1510&lt;=D14,D14&lt;1660),10,IF(AND(1660&lt;=D14,D14&lt;1810),11,IF(AND(1810&lt;=D14,D14&lt;1960),12,IF(AND(1960&lt;=D14,D14&lt;2110),13,IF(AND(2110&lt;=D14,D14&lt;2260),14,IF(AND(2260&lt;=D14,D14&lt;2410),15,IF(AND(2410&lt;=D14,D14&lt;2500),16,"---")))))))))))))))),0))</f>
        <v>0</v>
      </c>
      <c r="Q14" s="382">
        <f>IF('Исходные данные'!M13=2,IF(AND(175&lt;=D14,D14&lt;325),1,IF(AND(325&lt;=D14,D14&lt;475),2,IF(AND(475&lt;=D14,D14&lt;625),3,IF(AND(625&lt;=D14,D14&lt;775),4,IF(AND(775&lt;=D14,D14&lt;925),5,IF(AND(925&lt;=D14,D14&lt;1075),6,IF(AND(1075&lt;=D14,D14&lt;1225),7,IF(AND(1225&lt;=D14,D14&lt;1375),8,IF(AND(1375&lt;=D14,D14&lt;1525),9,IF(AND(1525&lt;=D14,D14&lt;1675),10,IF(AND(1675&lt;=D14,D14&lt;1825),11,IF(AND(1825&lt;=D14,D14&lt;1975),12,IF(AND(1975&lt;=D14,D14&lt;2125),13,IF(AND(2125&lt;=D14,D14&lt;2275),14,IF(AND(2275&lt;=D14,D14&lt;2400),15,IF(AND(2400&lt;=D14,D14&lt;2500),16,"---")))))))))))))))),IF('Исходные данные'!M13=4,IF(AND(175&lt;=D14,D14&lt;325),1,IF(AND(325&lt;=D14,D14&lt;475),2,IF(AND(475&lt;=D14,D14&lt;625),3,IF(AND(625&lt;=D14,D14&lt;775),4,IF(AND(775&lt;=D14,D14&lt;925),5,IF(AND(925&lt;=D14,D14&lt;1075),6,IF(AND(1075&lt;=D14,D14&lt;1225),7,IF(AND(1225&lt;=D14,D14&lt;1375),8,IF(AND(1375&lt;=D14,D14&lt;1525),9,IF(AND(1525&lt;=D14,D14&lt;1675),10,IF(AND(1675&lt;=D14,D14&lt;1825),11,IF(AND(1825&lt;=D14,D14&lt;1975),12,IF(AND(1975&lt;=D14,D14&lt;2125),13,IF(AND(2125&lt;=D14,D14&lt;2275),14,IF(AND(2275&lt;=D14,D14&lt;2400),15,IF(AND(2400&lt;=D14,D14&lt;2500),16,"---")))))))))))))))),0))</f>
        <v>0</v>
      </c>
      <c r="R14" s="52">
        <f>IF(OR('Исходные данные'!M13=1,'Исходные данные'!M13=3),P14,Q14)</f>
        <v>0</v>
      </c>
      <c r="S14">
        <f>P14*'Исходные данные'!H13</f>
        <v>0</v>
      </c>
      <c r="T14">
        <f>IF('Исходные данные'!M13=1,IF(D14&lt;=180,2.54,IF(D14&lt;=300,3.34,IF(D14&lt;=495,2.95,IF(D14&lt;=815,3.15,IF(D14&lt;=1115,3.39,IF(D14&lt;=2400,4.96,"---")))))),IF('Исходные данные'!M13=3,IF(D14&lt;=180,2.54,IF(D14&lt;=300,3.34,IF(D14&lt;=495,2.95,IF(D14&lt;=815,3.15,IF(D14&lt;=1115,3.39,IF(D14&lt;=2400,4.96,0)))))),0))*'Исходные данные'!H13</f>
        <v>0</v>
      </c>
      <c r="U14">
        <f>IF('Исходные данные'!M13=1,IF(D14&lt;=180,2.09,IF(D14&lt;=875,2.14,IF(D14&lt;=1155,2.41,IF(D14&lt;=1215,2.87,IF(D14&lt;=1385,3.05,IF(D14&lt;=1700,3.13,IF(D14&lt;=2400,4.37,0))))))),0)*'Исходные данные'!H13</f>
        <v>0</v>
      </c>
      <c r="V14">
        <f>IFERROR(INDEX(reg_table!B:B,MATCH(CONCATENATE(D14,"X",F14),reg_table!A:A,0)) *'Исходные данные'!H13, 0)</f>
        <v>0</v>
      </c>
      <c r="W14">
        <f>ROUNDDOWN((('Исходные данные'!F13-160)/140),0)</f>
        <v>-1</v>
      </c>
      <c r="X14">
        <f>('Исходные данные'!F13-160)/140</f>
        <v>-1.1428571428571428</v>
      </c>
      <c r="Y14" s="356">
        <f>IF(X14-W14=0,ROUNDDOWN(('Исходные данные'!F13-160)/140,0),ROUNDDOWN(('Исходные данные'!F13-160)/140,0)+1)</f>
        <v>0</v>
      </c>
      <c r="Z14">
        <f>('Исходные данные'!F13-170)/150</f>
        <v>-1.1333333333333333</v>
      </c>
      <c r="AA14">
        <f>ROUNDDOWN((('Исходные данные'!F13-170)/150),0)</f>
        <v>-1</v>
      </c>
      <c r="AB14" s="356">
        <f>IF(Z14-AA14=0,ROUNDDOWN(('Исходные данные'!F13-170)/150,0),ROUNDDOWN(('Исходные данные'!F13-170)/150,0)+1)</f>
        <v>0</v>
      </c>
    </row>
    <row r="15" spans="1:37">
      <c r="A15" s="2">
        <f>'Исходные данные'!B14</f>
        <v>0</v>
      </c>
      <c r="B15" s="15">
        <f>'Исходные данные'!C14</f>
        <v>0</v>
      </c>
      <c r="C15" s="16">
        <f>'Исходные данные'!D14</f>
        <v>0</v>
      </c>
      <c r="D15" s="40" t="str">
        <f>IF('Исходные данные'!C14='Исходные данные'!$M$1,'Исходные данные'!F14,IF('Исходные данные'!C14='Исходные данные'!$M$2,'Исходные данные'!F14,"---"))</f>
        <v>---</v>
      </c>
      <c r="E15" s="40" t="str">
        <f>IF('Исходные данные'!S14=252,"---",IF('Исходные данные'!S14=232,"KCKP",IF('Исходные данные'!S14=212,"KCKP-N","--")))</f>
        <v>--</v>
      </c>
      <c r="F15" s="85" t="str">
        <f>IF('Исходные данные'!M14=2,'Исходные данные'!G14,IF('Исходные данные'!M14=4,'Исходные данные'!G14,'Исходные данные'!I14))</f>
        <v>---</v>
      </c>
      <c r="G15" s="40">
        <f>IF('Исходные данные'!M14=1,'Исходные данные'!H14*2,IF('Исходные данные'!M14=3,'Исходные данные'!H14*2,'Исходные данные'!H14))</f>
        <v>0</v>
      </c>
      <c r="H15" s="40" t="s">
        <v>9</v>
      </c>
      <c r="I15" s="40" t="str">
        <f>IF('Исходные данные'!M14=1,G15,"---")</f>
        <v>---</v>
      </c>
      <c r="J15" s="383" t="str">
        <f>IF('Исходные данные'!L14=1,"ОЦ",IF('Исходные данные'!L14=2,"нерж",IF('Исходные данные'!L14=3,"ОЦ",IF('Исходные данные'!L14=4,"краш","---"))))</f>
        <v>---</v>
      </c>
      <c r="K15" s="68"/>
      <c r="L15" s="1"/>
      <c r="M15" s="1"/>
      <c r="N15" s="1"/>
      <c r="O15" s="42" t="str">
        <f>IF('Исходные данные'!M14=1,'Исходные данные'!O14,IF('Исходные данные'!M14=2,'Исходные данные'!Q14,IF('Исходные данные'!M14=3,'Исходные данные'!P14,IF('Исходные данные'!M14=4,'Исходные данные'!Q14,"---"))))</f>
        <v>---</v>
      </c>
      <c r="P15">
        <f>IF('Исходные данные'!M14=1,IF(AND(160&lt;=D15,D15&lt;310),1,IF(AND(310&lt;=D15,D15&lt;460),2,IF(AND(460&lt;=D15,D15&lt;610),3,IF(AND(610&lt;=D15,D15&lt;760),4,IF(AND(760&lt;=D15,D15&lt;910),5,IF(AND(910&lt;=D15,D15&lt;1060),6,IF(AND(1060&lt;=D15,D15&lt;1210),7,IF(AND(1210&lt;=D15,D15&lt;1360),8,IF(AND(1360&lt;=D15,D15&lt;1510),9,IF(AND(1510&lt;=D15,D15&lt;1660),10,IF(AND(1660&lt;=D15,D15&lt;1810),11,IF(AND(1810&lt;=D15,D15&lt;1960),12,IF(AND(1960&lt;=D15,D15&lt;2110),13,IF(AND(2110&lt;=D15,D15&lt;2260),14,IF(AND(2260&lt;=D15,D15&lt;2410),15,IF(AND(2410&lt;=D15,D15&lt;2500),16,"---")))))))))))))))),IF('Исходные данные'!M14=3,IF(AND(160&lt;=D15,D15&lt;310),1,IF(AND(310&lt;=D15,D15&lt;460),2,IF(AND(460&lt;=D15,D15&lt;610),3,IF(AND(610&lt;=D15,D15&lt;760),4,IF(AND(760&lt;=D15,D15&lt;910),5,IF(AND(910&lt;=D15,D15&lt;1060),6,IF(AND(1060&lt;=D15,D15&lt;1210),7,IF(AND(1210&lt;=D15,D15&lt;1360),8,IF(AND(1360&lt;=D15,D15&lt;1510),9,IF(AND(1510&lt;=D15,D15&lt;1660),10,IF(AND(1660&lt;=D15,D15&lt;1810),11,IF(AND(1810&lt;=D15,D15&lt;1960),12,IF(AND(1960&lt;=D15,D15&lt;2110),13,IF(AND(2110&lt;=D15,D15&lt;2260),14,IF(AND(2260&lt;=D15,D15&lt;2410),15,IF(AND(2410&lt;=D15,D15&lt;2500),16,"---")))))))))))))))),0))</f>
        <v>0</v>
      </c>
      <c r="Q15" s="382">
        <f>IF('Исходные данные'!M14=2,IF(AND(175&lt;=D15,D15&lt;325),1,IF(AND(325&lt;=D15,D15&lt;475),2,IF(AND(475&lt;=D15,D15&lt;625),3,IF(AND(625&lt;=D15,D15&lt;775),4,IF(AND(775&lt;=D15,D15&lt;925),5,IF(AND(925&lt;=D15,D15&lt;1075),6,IF(AND(1075&lt;=D15,D15&lt;1225),7,IF(AND(1225&lt;=D15,D15&lt;1375),8,IF(AND(1375&lt;=D15,D15&lt;1525),9,IF(AND(1525&lt;=D15,D15&lt;1675),10,IF(AND(1675&lt;=D15,D15&lt;1825),11,IF(AND(1825&lt;=D15,D15&lt;1975),12,IF(AND(1975&lt;=D15,D15&lt;2125),13,IF(AND(2125&lt;=D15,D15&lt;2275),14,IF(AND(2275&lt;=D15,D15&lt;2400),15,IF(AND(2400&lt;=D15,D15&lt;2500),16,"---")))))))))))))))),IF('Исходные данные'!M14=4,IF(AND(175&lt;=D15,D15&lt;325),1,IF(AND(325&lt;=D15,D15&lt;475),2,IF(AND(475&lt;=D15,D15&lt;625),3,IF(AND(625&lt;=D15,D15&lt;775),4,IF(AND(775&lt;=D15,D15&lt;925),5,IF(AND(925&lt;=D15,D15&lt;1075),6,IF(AND(1075&lt;=D15,D15&lt;1225),7,IF(AND(1225&lt;=D15,D15&lt;1375),8,IF(AND(1375&lt;=D15,D15&lt;1525),9,IF(AND(1525&lt;=D15,D15&lt;1675),10,IF(AND(1675&lt;=D15,D15&lt;1825),11,IF(AND(1825&lt;=D15,D15&lt;1975),12,IF(AND(1975&lt;=D15,D15&lt;2125),13,IF(AND(2125&lt;=D15,D15&lt;2275),14,IF(AND(2275&lt;=D15,D15&lt;2400),15,IF(AND(2400&lt;=D15,D15&lt;2500),16,"---")))))))))))))))),0))</f>
        <v>0</v>
      </c>
      <c r="R15" s="52">
        <f>IF(OR('Исходные данные'!M14=1,'Исходные данные'!M14=3),P15,Q15)</f>
        <v>0</v>
      </c>
      <c r="S15">
        <f>P15*'Исходные данные'!H14</f>
        <v>0</v>
      </c>
      <c r="T15">
        <f>IF('Исходные данные'!M14=1,IF(D15&lt;=180,2.54,IF(D15&lt;=300,3.34,IF(D15&lt;=495,2.95,IF(D15&lt;=815,3.15,IF(D15&lt;=1115,3.39,IF(D15&lt;=2400,4.96,"---")))))),IF('Исходные данные'!M14=3,IF(D15&lt;=180,2.54,IF(D15&lt;=300,3.34,IF(D15&lt;=495,2.95,IF(D15&lt;=815,3.15,IF(D15&lt;=1115,3.39,IF(D15&lt;=2400,4.96,0)))))),0))*'Исходные данные'!H14</f>
        <v>0</v>
      </c>
      <c r="U15">
        <f>IF('Исходные данные'!M14=1,IF(D15&lt;=180,2.09,IF(D15&lt;=875,2.14,IF(D15&lt;=1155,2.41,IF(D15&lt;=1215,2.87,IF(D15&lt;=1385,3.05,IF(D15&lt;=1700,3.13,IF(D15&lt;=2400,4.37,0))))))),0)*'Исходные данные'!H14</f>
        <v>0</v>
      </c>
      <c r="V15">
        <f>IFERROR(INDEX(reg_table!B:B,MATCH(CONCATENATE(D15,"X",F15),reg_table!A:A,0)) *'Исходные данные'!H14, 0)</f>
        <v>0</v>
      </c>
      <c r="W15">
        <f>ROUNDDOWN((('Исходные данные'!F14-160)/140),0)</f>
        <v>-1</v>
      </c>
      <c r="X15">
        <f>('Исходные данные'!F14-160)/140</f>
        <v>-1.1428571428571428</v>
      </c>
      <c r="Y15" s="356">
        <f>IF(X15-W15=0,ROUNDDOWN(('Исходные данные'!F14-160)/140,0),ROUNDDOWN(('Исходные данные'!F14-160)/140,0)+1)</f>
        <v>0</v>
      </c>
      <c r="Z15">
        <f>('Исходные данные'!F14-170)/150</f>
        <v>-1.1333333333333333</v>
      </c>
      <c r="AA15">
        <f>ROUNDDOWN((('Исходные данные'!F14-170)/150),0)</f>
        <v>-1</v>
      </c>
      <c r="AB15" s="356">
        <f>IF(Z15-AA15=0,ROUNDDOWN(('Исходные данные'!F14-170)/150,0),ROUNDDOWN(('Исходные данные'!F14-170)/150,0)+1)</f>
        <v>0</v>
      </c>
    </row>
    <row r="16" spans="1:37">
      <c r="A16" s="2">
        <f>'Исходные данные'!B15</f>
        <v>0</v>
      </c>
      <c r="B16" s="15">
        <f>'Исходные данные'!C15</f>
        <v>0</v>
      </c>
      <c r="C16" s="16">
        <f>'Исходные данные'!D15</f>
        <v>0</v>
      </c>
      <c r="D16" s="40" t="str">
        <f>IF('Исходные данные'!C15='Исходные данные'!$M$1,'Исходные данные'!F15,IF('Исходные данные'!C15='Исходные данные'!$M$2,'Исходные данные'!F15,"---"))</f>
        <v>---</v>
      </c>
      <c r="E16" s="40" t="str">
        <f>IF('Исходные данные'!S15=252,"---",IF('Исходные данные'!S15=232,"KCKP",IF('Исходные данные'!S15=212,"KCKP-N","--")))</f>
        <v>--</v>
      </c>
      <c r="F16" s="85" t="str">
        <f>IF('Исходные данные'!M15=2,'Исходные данные'!G15,IF('Исходные данные'!M15=4,'Исходные данные'!G15,'Исходные данные'!I15))</f>
        <v>---</v>
      </c>
      <c r="G16" s="40">
        <f>IF('Исходные данные'!M15=1,'Исходные данные'!H15*2,IF('Исходные данные'!M15=3,'Исходные данные'!H15*2,'Исходные данные'!H15))</f>
        <v>0</v>
      </c>
      <c r="H16" s="40" t="s">
        <v>9</v>
      </c>
      <c r="I16" s="40" t="str">
        <f>IF('Исходные данные'!M15=1,G16,"---")</f>
        <v>---</v>
      </c>
      <c r="J16" s="383" t="str">
        <f>IF('Исходные данные'!L15=1,"ОЦ",IF('Исходные данные'!L15=2,"нерж",IF('Исходные данные'!L15=3,"ОЦ",IF('Исходные данные'!L15=4,"краш","---"))))</f>
        <v>---</v>
      </c>
      <c r="K16" s="68"/>
      <c r="L16" s="1"/>
      <c r="M16" s="1"/>
      <c r="N16" s="1"/>
      <c r="O16" s="42" t="str">
        <f>IF('Исходные данные'!M15=1,'Исходные данные'!O15,IF('Исходные данные'!M15=2,'Исходные данные'!Q15,IF('Исходные данные'!M15=3,'Исходные данные'!P15,IF('Исходные данные'!M15=4,'Исходные данные'!Q15,"---"))))</f>
        <v>---</v>
      </c>
      <c r="P16">
        <f>IF('Исходные данные'!M15=1,IF(AND(160&lt;=D16,D16&lt;310),1,IF(AND(310&lt;=D16,D16&lt;460),2,IF(AND(460&lt;=D16,D16&lt;610),3,IF(AND(610&lt;=D16,D16&lt;760),4,IF(AND(760&lt;=D16,D16&lt;910),5,IF(AND(910&lt;=D16,D16&lt;1060),6,IF(AND(1060&lt;=D16,D16&lt;1210),7,IF(AND(1210&lt;=D16,D16&lt;1360),8,IF(AND(1360&lt;=D16,D16&lt;1510),9,IF(AND(1510&lt;=D16,D16&lt;1660),10,IF(AND(1660&lt;=D16,D16&lt;1810),11,IF(AND(1810&lt;=D16,D16&lt;1960),12,IF(AND(1960&lt;=D16,D16&lt;2110),13,IF(AND(2110&lt;=D16,D16&lt;2260),14,IF(AND(2260&lt;=D16,D16&lt;2410),15,IF(AND(2410&lt;=D16,D16&lt;2500),16,"---")))))))))))))))),IF('Исходные данные'!M15=3,IF(AND(160&lt;=D16,D16&lt;310),1,IF(AND(310&lt;=D16,D16&lt;460),2,IF(AND(460&lt;=D16,D16&lt;610),3,IF(AND(610&lt;=D16,D16&lt;760),4,IF(AND(760&lt;=D16,D16&lt;910),5,IF(AND(910&lt;=D16,D16&lt;1060),6,IF(AND(1060&lt;=D16,D16&lt;1210),7,IF(AND(1210&lt;=D16,D16&lt;1360),8,IF(AND(1360&lt;=D16,D16&lt;1510),9,IF(AND(1510&lt;=D16,D16&lt;1660),10,IF(AND(1660&lt;=D16,D16&lt;1810),11,IF(AND(1810&lt;=D16,D16&lt;1960),12,IF(AND(1960&lt;=D16,D16&lt;2110),13,IF(AND(2110&lt;=D16,D16&lt;2260),14,IF(AND(2260&lt;=D16,D16&lt;2410),15,IF(AND(2410&lt;=D16,D16&lt;2500),16,"---")))))))))))))))),0))</f>
        <v>0</v>
      </c>
      <c r="Q16" s="382">
        <f>IF('Исходные данные'!M15=2,IF(AND(175&lt;=D16,D16&lt;325),1,IF(AND(325&lt;=D16,D16&lt;475),2,IF(AND(475&lt;=D16,D16&lt;625),3,IF(AND(625&lt;=D16,D16&lt;775),4,IF(AND(775&lt;=D16,D16&lt;925),5,IF(AND(925&lt;=D16,D16&lt;1075),6,IF(AND(1075&lt;=D16,D16&lt;1225),7,IF(AND(1225&lt;=D16,D16&lt;1375),8,IF(AND(1375&lt;=D16,D16&lt;1525),9,IF(AND(1525&lt;=D16,D16&lt;1675),10,IF(AND(1675&lt;=D16,D16&lt;1825),11,IF(AND(1825&lt;=D16,D16&lt;1975),12,IF(AND(1975&lt;=D16,D16&lt;2125),13,IF(AND(2125&lt;=D16,D16&lt;2275),14,IF(AND(2275&lt;=D16,D16&lt;2400),15,IF(AND(2400&lt;=D16,D16&lt;2500),16,"---")))))))))))))))),IF('Исходные данные'!M15=4,IF(AND(175&lt;=D16,D16&lt;325),1,IF(AND(325&lt;=D16,D16&lt;475),2,IF(AND(475&lt;=D16,D16&lt;625),3,IF(AND(625&lt;=D16,D16&lt;775),4,IF(AND(775&lt;=D16,D16&lt;925),5,IF(AND(925&lt;=D16,D16&lt;1075),6,IF(AND(1075&lt;=D16,D16&lt;1225),7,IF(AND(1225&lt;=D16,D16&lt;1375),8,IF(AND(1375&lt;=D16,D16&lt;1525),9,IF(AND(1525&lt;=D16,D16&lt;1675),10,IF(AND(1675&lt;=D16,D16&lt;1825),11,IF(AND(1825&lt;=D16,D16&lt;1975),12,IF(AND(1975&lt;=D16,D16&lt;2125),13,IF(AND(2125&lt;=D16,D16&lt;2275),14,IF(AND(2275&lt;=D16,D16&lt;2400),15,IF(AND(2400&lt;=D16,D16&lt;2500),16,"---")))))))))))))))),0))</f>
        <v>0</v>
      </c>
      <c r="R16" s="52">
        <f>IF(OR('Исходные данные'!M15=1,'Исходные данные'!M15=3),P16,Q16)</f>
        <v>0</v>
      </c>
      <c r="S16">
        <f>P16*'Исходные данные'!H15</f>
        <v>0</v>
      </c>
      <c r="T16">
        <f>IF('Исходные данные'!M15=1,IF(D16&lt;=180,2.54,IF(D16&lt;=300,3.34,IF(D16&lt;=495,2.95,IF(D16&lt;=815,3.15,IF(D16&lt;=1115,3.39,IF(D16&lt;=2400,4.96,"---")))))),IF('Исходные данные'!M15=3,IF(D16&lt;=180,2.54,IF(D16&lt;=300,3.34,IF(D16&lt;=495,2.95,IF(D16&lt;=815,3.15,IF(D16&lt;=1115,3.39,IF(D16&lt;=2400,4.96,0)))))),0))*'Исходные данные'!H15</f>
        <v>0</v>
      </c>
      <c r="U16">
        <f>IF('Исходные данные'!M15=1,IF(D16&lt;=180,2.09,IF(D16&lt;=875,2.14,IF(D16&lt;=1155,2.41,IF(D16&lt;=1215,2.87,IF(D16&lt;=1385,3.05,IF(D16&lt;=1700,3.13,IF(D16&lt;=2400,4.37,0))))))),0)*'Исходные данные'!H15</f>
        <v>0</v>
      </c>
      <c r="V16">
        <f>IFERROR(INDEX(reg_table!B:B,MATCH(CONCATENATE(D16,"X",F16),reg_table!A:A,0)) *'Исходные данные'!H15, 0)</f>
        <v>0</v>
      </c>
      <c r="W16">
        <f>ROUNDDOWN((('Исходные данные'!F15-160)/140),0)</f>
        <v>-1</v>
      </c>
      <c r="X16">
        <f>('Исходные данные'!F15-160)/140</f>
        <v>-1.1428571428571428</v>
      </c>
      <c r="Y16" s="356">
        <f>IF(X16-W16=0,ROUNDDOWN(('Исходные данные'!F15-160)/140,0),ROUNDDOWN(('Исходные данные'!F15-160)/140,0)+1)</f>
        <v>0</v>
      </c>
      <c r="Z16">
        <f>('Исходные данные'!F15-170)/150</f>
        <v>-1.1333333333333333</v>
      </c>
      <c r="AA16">
        <f>ROUNDDOWN((('Исходные данные'!F15-170)/150),0)</f>
        <v>-1</v>
      </c>
      <c r="AB16" s="356">
        <f>IF(Z16-AA16=0,ROUNDDOWN(('Исходные данные'!F15-170)/150,0),ROUNDDOWN(('Исходные данные'!F15-170)/150,0)+1)</f>
        <v>0</v>
      </c>
    </row>
    <row r="17" spans="1:28">
      <c r="A17" s="2">
        <f>'Исходные данные'!B16</f>
        <v>0</v>
      </c>
      <c r="B17" s="15">
        <f>'Исходные данные'!C16</f>
        <v>0</v>
      </c>
      <c r="C17" s="16">
        <f>'Исходные данные'!D16</f>
        <v>0</v>
      </c>
      <c r="D17" s="40" t="str">
        <f>IF('Исходные данные'!C16='Исходные данные'!$M$1,'Исходные данные'!F16,IF('Исходные данные'!C16='Исходные данные'!$M$2,'Исходные данные'!F16,"---"))</f>
        <v>---</v>
      </c>
      <c r="E17" s="40" t="str">
        <f>IF('Исходные данные'!S16=252,"---",IF('Исходные данные'!S16=232,"KCKP",IF('Исходные данные'!S16=212,"KCKP-N","--")))</f>
        <v>--</v>
      </c>
      <c r="F17" s="85" t="str">
        <f>IF('Исходные данные'!M16=2,'Исходные данные'!G16,IF('Исходные данные'!M16=4,'Исходные данные'!G16,'Исходные данные'!I16))</f>
        <v>---</v>
      </c>
      <c r="G17" s="40">
        <f>IF('Исходные данные'!M16=1,'Исходные данные'!H16*2,IF('Исходные данные'!M16=3,'Исходные данные'!H16*2,'Исходные данные'!H16))</f>
        <v>0</v>
      </c>
      <c r="H17" s="40" t="s">
        <v>9</v>
      </c>
      <c r="I17" s="40" t="str">
        <f>IF('Исходные данные'!M16=1,G17,"---")</f>
        <v>---</v>
      </c>
      <c r="J17" s="383" t="str">
        <f>IF('Исходные данные'!L16=1,"ОЦ",IF('Исходные данные'!L16=2,"нерж",IF('Исходные данные'!L16=3,"ОЦ",IF('Исходные данные'!L16=4,"краш","---"))))</f>
        <v>---</v>
      </c>
      <c r="K17" s="68"/>
      <c r="L17" s="1"/>
      <c r="M17" s="1"/>
      <c r="N17" s="1"/>
      <c r="O17" s="42" t="str">
        <f>IF('Исходные данные'!M16=1,'Исходные данные'!O16,IF('Исходные данные'!M16=2,'Исходные данные'!Q16,IF('Исходные данные'!M16=3,'Исходные данные'!P16,IF('Исходные данные'!M16=4,'Исходные данные'!Q16,"---"))))</f>
        <v>---</v>
      </c>
      <c r="P17">
        <f>IF('Исходные данные'!M16=1,IF(AND(160&lt;=D17,D17&lt;310),1,IF(AND(310&lt;=D17,D17&lt;460),2,IF(AND(460&lt;=D17,D17&lt;610),3,IF(AND(610&lt;=D17,D17&lt;760),4,IF(AND(760&lt;=D17,D17&lt;910),5,IF(AND(910&lt;=D17,D17&lt;1060),6,IF(AND(1060&lt;=D17,D17&lt;1210),7,IF(AND(1210&lt;=D17,D17&lt;1360),8,IF(AND(1360&lt;=D17,D17&lt;1510),9,IF(AND(1510&lt;=D17,D17&lt;1660),10,IF(AND(1660&lt;=D17,D17&lt;1810),11,IF(AND(1810&lt;=D17,D17&lt;1960),12,IF(AND(1960&lt;=D17,D17&lt;2110),13,IF(AND(2110&lt;=D17,D17&lt;2260),14,IF(AND(2260&lt;=D17,D17&lt;2410),15,IF(AND(2410&lt;=D17,D17&lt;2500),16,"---")))))))))))))))),IF('Исходные данные'!M16=3,IF(AND(160&lt;=D17,D17&lt;310),1,IF(AND(310&lt;=D17,D17&lt;460),2,IF(AND(460&lt;=D17,D17&lt;610),3,IF(AND(610&lt;=D17,D17&lt;760),4,IF(AND(760&lt;=D17,D17&lt;910),5,IF(AND(910&lt;=D17,D17&lt;1060),6,IF(AND(1060&lt;=D17,D17&lt;1210),7,IF(AND(1210&lt;=D17,D17&lt;1360),8,IF(AND(1360&lt;=D17,D17&lt;1510),9,IF(AND(1510&lt;=D17,D17&lt;1660),10,IF(AND(1660&lt;=D17,D17&lt;1810),11,IF(AND(1810&lt;=D17,D17&lt;1960),12,IF(AND(1960&lt;=D17,D17&lt;2110),13,IF(AND(2110&lt;=D17,D17&lt;2260),14,IF(AND(2260&lt;=D17,D17&lt;2410),15,IF(AND(2410&lt;=D17,D17&lt;2500),16,"---")))))))))))))))),0))</f>
        <v>0</v>
      </c>
      <c r="Q17" s="382">
        <f>IF('Исходные данные'!M16=2,IF(AND(175&lt;=D17,D17&lt;325),1,IF(AND(325&lt;=D17,D17&lt;475),2,IF(AND(475&lt;=D17,D17&lt;625),3,IF(AND(625&lt;=D17,D17&lt;775),4,IF(AND(775&lt;=D17,D17&lt;925),5,IF(AND(925&lt;=D17,D17&lt;1075),6,IF(AND(1075&lt;=D17,D17&lt;1225),7,IF(AND(1225&lt;=D17,D17&lt;1375),8,IF(AND(1375&lt;=D17,D17&lt;1525),9,IF(AND(1525&lt;=D17,D17&lt;1675),10,IF(AND(1675&lt;=D17,D17&lt;1825),11,IF(AND(1825&lt;=D17,D17&lt;1975),12,IF(AND(1975&lt;=D17,D17&lt;2125),13,IF(AND(2125&lt;=D17,D17&lt;2275),14,IF(AND(2275&lt;=D17,D17&lt;2400),15,IF(AND(2400&lt;=D17,D17&lt;2500),16,"---")))))))))))))))),IF('Исходные данные'!M16=4,IF(AND(175&lt;=D17,D17&lt;325),1,IF(AND(325&lt;=D17,D17&lt;475),2,IF(AND(475&lt;=D17,D17&lt;625),3,IF(AND(625&lt;=D17,D17&lt;775),4,IF(AND(775&lt;=D17,D17&lt;925),5,IF(AND(925&lt;=D17,D17&lt;1075),6,IF(AND(1075&lt;=D17,D17&lt;1225),7,IF(AND(1225&lt;=D17,D17&lt;1375),8,IF(AND(1375&lt;=D17,D17&lt;1525),9,IF(AND(1525&lt;=D17,D17&lt;1675),10,IF(AND(1675&lt;=D17,D17&lt;1825),11,IF(AND(1825&lt;=D17,D17&lt;1975),12,IF(AND(1975&lt;=D17,D17&lt;2125),13,IF(AND(2125&lt;=D17,D17&lt;2275),14,IF(AND(2275&lt;=D17,D17&lt;2400),15,IF(AND(2400&lt;=D17,D17&lt;2500),16,"---")))))))))))))))),0))</f>
        <v>0</v>
      </c>
      <c r="R17" s="52">
        <f>IF(OR('Исходные данные'!M16=1,'Исходные данные'!M16=3),P17,Q17)</f>
        <v>0</v>
      </c>
      <c r="S17">
        <f>P17*'Исходные данные'!H16</f>
        <v>0</v>
      </c>
      <c r="T17">
        <f>IF('Исходные данные'!M16=1,IF(D17&lt;=180,2.54,IF(D17&lt;=300,3.34,IF(D17&lt;=495,2.95,IF(D17&lt;=815,3.15,IF(D17&lt;=1115,3.39,IF(D17&lt;=2400,4.96,"---")))))),IF('Исходные данные'!M16=3,IF(D17&lt;=180,2.54,IF(D17&lt;=300,3.34,IF(D17&lt;=495,2.95,IF(D17&lt;=815,3.15,IF(D17&lt;=1115,3.39,IF(D17&lt;=2400,4.96,0)))))),0))*'Исходные данные'!H16</f>
        <v>0</v>
      </c>
      <c r="U17">
        <f>IF('Исходные данные'!M16=1,IF(D17&lt;=180,2.09,IF(D17&lt;=875,2.14,IF(D17&lt;=1155,2.41,IF(D17&lt;=1215,2.87,IF(D17&lt;=1385,3.05,IF(D17&lt;=1700,3.13,IF(D17&lt;=2400,4.37,0))))))),0)*'Исходные данные'!H16</f>
        <v>0</v>
      </c>
      <c r="V17">
        <f>IFERROR(INDEX(reg_table!B:B,MATCH(CONCATENATE(D17,"X",F17),reg_table!A:A,0)) *'Исходные данные'!H16, 0)</f>
        <v>0</v>
      </c>
      <c r="W17">
        <f>ROUNDDOWN((('Исходные данные'!F16-160)/140),0)</f>
        <v>-1</v>
      </c>
      <c r="X17">
        <f>('Исходные данные'!F16-160)/140</f>
        <v>-1.1428571428571428</v>
      </c>
      <c r="Y17" s="356">
        <f>IF(X17-W17=0,ROUNDDOWN(('Исходные данные'!F16-160)/140,0),ROUNDDOWN(('Исходные данные'!F16-160)/140,0)+1)</f>
        <v>0</v>
      </c>
      <c r="Z17">
        <f>('Исходные данные'!F16-170)/150</f>
        <v>-1.1333333333333333</v>
      </c>
      <c r="AA17">
        <f>ROUNDDOWN((('Исходные данные'!F16-170)/150),0)</f>
        <v>-1</v>
      </c>
      <c r="AB17" s="356">
        <f>IF(Z17-AA17=0,ROUNDDOWN(('Исходные данные'!F16-170)/150,0),ROUNDDOWN(('Исходные данные'!F16-170)/150,0)+1)</f>
        <v>0</v>
      </c>
    </row>
    <row r="18" spans="1:28">
      <c r="A18" s="2">
        <f>'Исходные данные'!B17</f>
        <v>0</v>
      </c>
      <c r="B18" s="15">
        <f>'Исходные данные'!C17</f>
        <v>0</v>
      </c>
      <c r="C18" s="16">
        <f>'Исходные данные'!D17</f>
        <v>0</v>
      </c>
      <c r="D18" s="40" t="str">
        <f>IF('Исходные данные'!C17='Исходные данные'!$M$1,'Исходные данные'!F17,IF('Исходные данные'!C17='Исходные данные'!$M$2,'Исходные данные'!F17,"---"))</f>
        <v>---</v>
      </c>
      <c r="E18" s="40" t="str">
        <f>IF('Исходные данные'!S17=252,"---",IF('Исходные данные'!S17=232,"KCKP",IF('Исходные данные'!S17=212,"KCKP-N","--")))</f>
        <v>--</v>
      </c>
      <c r="F18" s="85" t="str">
        <f>IF('Исходные данные'!M17=2,'Исходные данные'!G17,IF('Исходные данные'!M17=4,'Исходные данные'!G17,'Исходные данные'!I17))</f>
        <v>---</v>
      </c>
      <c r="G18" s="40">
        <f>IF('Исходные данные'!M17=1,'Исходные данные'!H17*2,IF('Исходные данные'!M17=3,'Исходные данные'!H17*2,'Исходные данные'!H17))</f>
        <v>0</v>
      </c>
      <c r="H18" s="40" t="s">
        <v>9</v>
      </c>
      <c r="I18" s="40" t="str">
        <f>IF('Исходные данные'!M17=1,G18,"---")</f>
        <v>---</v>
      </c>
      <c r="J18" s="383" t="str">
        <f>IF('Исходные данные'!L17=1,"ОЦ",IF('Исходные данные'!L17=2,"нерж",IF('Исходные данные'!L17=3,"ОЦ",IF('Исходные данные'!L17=4,"краш","---"))))</f>
        <v>---</v>
      </c>
      <c r="K18" s="68"/>
      <c r="L18" s="1"/>
      <c r="M18" s="1"/>
      <c r="N18" s="1"/>
      <c r="O18" s="42" t="str">
        <f>IF('Исходные данные'!M17=1,'Исходные данные'!O17,IF('Исходные данные'!M17=2,'Исходные данные'!Q17,IF('Исходные данные'!M17=3,'Исходные данные'!P17,IF('Исходные данные'!M17=4,'Исходные данные'!Q17,"---"))))</f>
        <v>---</v>
      </c>
      <c r="P18">
        <f>IF('Исходные данные'!M17=1,IF(AND(160&lt;=D18,D18&lt;310),1,IF(AND(310&lt;=D18,D18&lt;460),2,IF(AND(460&lt;=D18,D18&lt;610),3,IF(AND(610&lt;=D18,D18&lt;760),4,IF(AND(760&lt;=D18,D18&lt;910),5,IF(AND(910&lt;=D18,D18&lt;1060),6,IF(AND(1060&lt;=D18,D18&lt;1210),7,IF(AND(1210&lt;=D18,D18&lt;1360),8,IF(AND(1360&lt;=D18,D18&lt;1510),9,IF(AND(1510&lt;=D18,D18&lt;1660),10,IF(AND(1660&lt;=D18,D18&lt;1810),11,IF(AND(1810&lt;=D18,D18&lt;1960),12,IF(AND(1960&lt;=D18,D18&lt;2110),13,IF(AND(2110&lt;=D18,D18&lt;2260),14,IF(AND(2260&lt;=D18,D18&lt;2410),15,IF(AND(2410&lt;=D18,D18&lt;2500),16,"---")))))))))))))))),IF('Исходные данные'!M17=3,IF(AND(160&lt;=D18,D18&lt;310),1,IF(AND(310&lt;=D18,D18&lt;460),2,IF(AND(460&lt;=D18,D18&lt;610),3,IF(AND(610&lt;=D18,D18&lt;760),4,IF(AND(760&lt;=D18,D18&lt;910),5,IF(AND(910&lt;=D18,D18&lt;1060),6,IF(AND(1060&lt;=D18,D18&lt;1210),7,IF(AND(1210&lt;=D18,D18&lt;1360),8,IF(AND(1360&lt;=D18,D18&lt;1510),9,IF(AND(1510&lt;=D18,D18&lt;1660),10,IF(AND(1660&lt;=D18,D18&lt;1810),11,IF(AND(1810&lt;=D18,D18&lt;1960),12,IF(AND(1960&lt;=D18,D18&lt;2110),13,IF(AND(2110&lt;=D18,D18&lt;2260),14,IF(AND(2260&lt;=D18,D18&lt;2410),15,IF(AND(2410&lt;=D18,D18&lt;2500),16,"---")))))))))))))))),0))</f>
        <v>0</v>
      </c>
      <c r="Q18" s="382">
        <f>IF('Исходные данные'!M17=2,IF(AND(175&lt;=D18,D18&lt;325),1,IF(AND(325&lt;=D18,D18&lt;475),2,IF(AND(475&lt;=D18,D18&lt;625),3,IF(AND(625&lt;=D18,D18&lt;775),4,IF(AND(775&lt;=D18,D18&lt;925),5,IF(AND(925&lt;=D18,D18&lt;1075),6,IF(AND(1075&lt;=D18,D18&lt;1225),7,IF(AND(1225&lt;=D18,D18&lt;1375),8,IF(AND(1375&lt;=D18,D18&lt;1525),9,IF(AND(1525&lt;=D18,D18&lt;1675),10,IF(AND(1675&lt;=D18,D18&lt;1825),11,IF(AND(1825&lt;=D18,D18&lt;1975),12,IF(AND(1975&lt;=D18,D18&lt;2125),13,IF(AND(2125&lt;=D18,D18&lt;2275),14,IF(AND(2275&lt;=D18,D18&lt;2400),15,IF(AND(2400&lt;=D18,D18&lt;2500),16,"---")))))))))))))))),IF('Исходные данные'!M17=4,IF(AND(175&lt;=D18,D18&lt;325),1,IF(AND(325&lt;=D18,D18&lt;475),2,IF(AND(475&lt;=D18,D18&lt;625),3,IF(AND(625&lt;=D18,D18&lt;775),4,IF(AND(775&lt;=D18,D18&lt;925),5,IF(AND(925&lt;=D18,D18&lt;1075),6,IF(AND(1075&lt;=D18,D18&lt;1225),7,IF(AND(1225&lt;=D18,D18&lt;1375),8,IF(AND(1375&lt;=D18,D18&lt;1525),9,IF(AND(1525&lt;=D18,D18&lt;1675),10,IF(AND(1675&lt;=D18,D18&lt;1825),11,IF(AND(1825&lt;=D18,D18&lt;1975),12,IF(AND(1975&lt;=D18,D18&lt;2125),13,IF(AND(2125&lt;=D18,D18&lt;2275),14,IF(AND(2275&lt;=D18,D18&lt;2400),15,IF(AND(2400&lt;=D18,D18&lt;2500),16,"---")))))))))))))))),0))</f>
        <v>0</v>
      </c>
      <c r="R18" s="52">
        <f>IF(OR('Исходные данные'!M17=1,'Исходные данные'!M17=3),P18,Q18)</f>
        <v>0</v>
      </c>
      <c r="S18">
        <f>P18*'Исходные данные'!H17</f>
        <v>0</v>
      </c>
      <c r="T18">
        <f>IF('Исходные данные'!M17=1,IF(D18&lt;=180,2.54,IF(D18&lt;=300,3.34,IF(D18&lt;=495,2.95,IF(D18&lt;=815,3.15,IF(D18&lt;=1115,3.39,IF(D18&lt;=2400,4.96,"---")))))),IF('Исходные данные'!M17=3,IF(D18&lt;=180,2.54,IF(D18&lt;=300,3.34,IF(D18&lt;=495,2.95,IF(D18&lt;=815,3.15,IF(D18&lt;=1115,3.39,IF(D18&lt;=2400,4.96,0)))))),0))*'Исходные данные'!H17</f>
        <v>0</v>
      </c>
      <c r="U18">
        <f>IF('Исходные данные'!M17=1,IF(D18&lt;=180,2.09,IF(D18&lt;=875,2.14,IF(D18&lt;=1155,2.41,IF(D18&lt;=1215,2.87,IF(D18&lt;=1385,3.05,IF(D18&lt;=1700,3.13,IF(D18&lt;=2400,4.37,0))))))),0)*'Исходные данные'!H17</f>
        <v>0</v>
      </c>
      <c r="V18">
        <f>IFERROR(INDEX(reg_table!B:B,MATCH(CONCATENATE(D18,"X",F18),reg_table!A:A,0)) *'Исходные данные'!H17, 0)</f>
        <v>0</v>
      </c>
      <c r="W18">
        <f>ROUNDDOWN((('Исходные данные'!F17-160)/140),0)</f>
        <v>-1</v>
      </c>
      <c r="X18">
        <f>('Исходные данные'!F17-160)/140</f>
        <v>-1.1428571428571428</v>
      </c>
      <c r="Y18" s="356">
        <f>IF(X18-W18=0,ROUNDDOWN(('Исходные данные'!F17-160)/140,0),ROUNDDOWN(('Исходные данные'!F17-160)/140,0)+1)</f>
        <v>0</v>
      </c>
      <c r="Z18">
        <f>('Исходные данные'!F17-170)/150</f>
        <v>-1.1333333333333333</v>
      </c>
      <c r="AA18">
        <f>ROUNDDOWN((('Исходные данные'!F17-170)/150),0)</f>
        <v>-1</v>
      </c>
      <c r="AB18" s="356">
        <f>IF(Z18-AA18=0,ROUNDDOWN(('Исходные данные'!F17-170)/150,0),ROUNDDOWN(('Исходные данные'!F17-170)/150,0)+1)</f>
        <v>0</v>
      </c>
    </row>
    <row r="19" spans="1:28">
      <c r="A19" s="2">
        <f>'Исходные данные'!B18</f>
        <v>0</v>
      </c>
      <c r="B19" s="15">
        <f>'Исходные данные'!C18</f>
        <v>0</v>
      </c>
      <c r="C19" s="16">
        <f>'Исходные данные'!D18</f>
        <v>0</v>
      </c>
      <c r="D19" s="40" t="str">
        <f>IF('Исходные данные'!C18='Исходные данные'!$M$1,'Исходные данные'!F18,IF('Исходные данные'!C18='Исходные данные'!$M$2,'Исходные данные'!F18,"---"))</f>
        <v>---</v>
      </c>
      <c r="E19" s="40" t="str">
        <f>IF('Исходные данные'!S18=252,"---",IF('Исходные данные'!S18=232,"KCKP",IF('Исходные данные'!S18=212,"KCKP-N","--")))</f>
        <v>--</v>
      </c>
      <c r="F19" s="85" t="str">
        <f>IF('Исходные данные'!M18=2,'Исходные данные'!G18,IF('Исходные данные'!M18=4,'Исходные данные'!G18,'Исходные данные'!I18))</f>
        <v>---</v>
      </c>
      <c r="G19" s="40">
        <f>IF('Исходные данные'!M18=1,'Исходные данные'!H18*2,IF('Исходные данные'!M18=3,'Исходные данные'!H18*2,'Исходные данные'!H18))</f>
        <v>0</v>
      </c>
      <c r="H19" s="40" t="s">
        <v>9</v>
      </c>
      <c r="I19" s="40" t="str">
        <f>IF('Исходные данные'!M18=1,G19,"---")</f>
        <v>---</v>
      </c>
      <c r="J19" s="383" t="str">
        <f>IF('Исходные данные'!L18=1,"ОЦ",IF('Исходные данные'!L18=2,"нерж",IF('Исходные данные'!L18=3,"ОЦ",IF('Исходные данные'!L18=4,"краш","---"))))</f>
        <v>---</v>
      </c>
      <c r="K19" s="68"/>
      <c r="L19" s="1"/>
      <c r="M19" s="1"/>
      <c r="N19" s="1"/>
      <c r="O19" s="42" t="str">
        <f>IF('Исходные данные'!M18=1,'Исходные данные'!O18,IF('Исходные данные'!M18=2,'Исходные данные'!Q18,IF('Исходные данные'!M18=3,'Исходные данные'!P18,IF('Исходные данные'!M18=4,'Исходные данные'!Q18,"---"))))</f>
        <v>---</v>
      </c>
      <c r="P19">
        <f>IF('Исходные данные'!M18=1,IF(AND(160&lt;=D19,D19&lt;310),1,IF(AND(310&lt;=D19,D19&lt;460),2,IF(AND(460&lt;=D19,D19&lt;610),3,IF(AND(610&lt;=D19,D19&lt;760),4,IF(AND(760&lt;=D19,D19&lt;910),5,IF(AND(910&lt;=D19,D19&lt;1060),6,IF(AND(1060&lt;=D19,D19&lt;1210),7,IF(AND(1210&lt;=D19,D19&lt;1360),8,IF(AND(1360&lt;=D19,D19&lt;1510),9,IF(AND(1510&lt;=D19,D19&lt;1660),10,IF(AND(1660&lt;=D19,D19&lt;1810),11,IF(AND(1810&lt;=D19,D19&lt;1960),12,IF(AND(1960&lt;=D19,D19&lt;2110),13,IF(AND(2110&lt;=D19,D19&lt;2260),14,IF(AND(2260&lt;=D19,D19&lt;2410),15,IF(AND(2410&lt;=D19,D19&lt;2500),16,"---")))))))))))))))),IF('Исходные данные'!M18=3,IF(AND(160&lt;=D19,D19&lt;310),1,IF(AND(310&lt;=D19,D19&lt;460),2,IF(AND(460&lt;=D19,D19&lt;610),3,IF(AND(610&lt;=D19,D19&lt;760),4,IF(AND(760&lt;=D19,D19&lt;910),5,IF(AND(910&lt;=D19,D19&lt;1060),6,IF(AND(1060&lt;=D19,D19&lt;1210),7,IF(AND(1210&lt;=D19,D19&lt;1360),8,IF(AND(1360&lt;=D19,D19&lt;1510),9,IF(AND(1510&lt;=D19,D19&lt;1660),10,IF(AND(1660&lt;=D19,D19&lt;1810),11,IF(AND(1810&lt;=D19,D19&lt;1960),12,IF(AND(1960&lt;=D19,D19&lt;2110),13,IF(AND(2110&lt;=D19,D19&lt;2260),14,IF(AND(2260&lt;=D19,D19&lt;2410),15,IF(AND(2410&lt;=D19,D19&lt;2500),16,"---")))))))))))))))),0))</f>
        <v>0</v>
      </c>
      <c r="Q19" s="382">
        <f>IF('Исходные данные'!M18=2,IF(AND(175&lt;=D19,D19&lt;325),1,IF(AND(325&lt;=D19,D19&lt;475),2,IF(AND(475&lt;=D19,D19&lt;625),3,IF(AND(625&lt;=D19,D19&lt;775),4,IF(AND(775&lt;=D19,D19&lt;925),5,IF(AND(925&lt;=D19,D19&lt;1075),6,IF(AND(1075&lt;=D19,D19&lt;1225),7,IF(AND(1225&lt;=D19,D19&lt;1375),8,IF(AND(1375&lt;=D19,D19&lt;1525),9,IF(AND(1525&lt;=D19,D19&lt;1675),10,IF(AND(1675&lt;=D19,D19&lt;1825),11,IF(AND(1825&lt;=D19,D19&lt;1975),12,IF(AND(1975&lt;=D19,D19&lt;2125),13,IF(AND(2125&lt;=D19,D19&lt;2275),14,IF(AND(2275&lt;=D19,D19&lt;2400),15,IF(AND(2400&lt;=D19,D19&lt;2500),16,"---")))))))))))))))),IF('Исходные данные'!M18=4,IF(AND(175&lt;=D19,D19&lt;325),1,IF(AND(325&lt;=D19,D19&lt;475),2,IF(AND(475&lt;=D19,D19&lt;625),3,IF(AND(625&lt;=D19,D19&lt;775),4,IF(AND(775&lt;=D19,D19&lt;925),5,IF(AND(925&lt;=D19,D19&lt;1075),6,IF(AND(1075&lt;=D19,D19&lt;1225),7,IF(AND(1225&lt;=D19,D19&lt;1375),8,IF(AND(1375&lt;=D19,D19&lt;1525),9,IF(AND(1525&lt;=D19,D19&lt;1675),10,IF(AND(1675&lt;=D19,D19&lt;1825),11,IF(AND(1825&lt;=D19,D19&lt;1975),12,IF(AND(1975&lt;=D19,D19&lt;2125),13,IF(AND(2125&lt;=D19,D19&lt;2275),14,IF(AND(2275&lt;=D19,D19&lt;2400),15,IF(AND(2400&lt;=D19,D19&lt;2500),16,"---")))))))))))))))),0))</f>
        <v>0</v>
      </c>
      <c r="R19" s="52">
        <f>IF(OR('Исходные данные'!M18=1,'Исходные данные'!M18=3),P19,Q19)</f>
        <v>0</v>
      </c>
      <c r="S19">
        <f>P19*'Исходные данные'!H18</f>
        <v>0</v>
      </c>
      <c r="T19">
        <f>IF('Исходные данные'!M18=1,IF(D19&lt;=180,2.54,IF(D19&lt;=300,3.34,IF(D19&lt;=495,2.95,IF(D19&lt;=815,3.15,IF(D19&lt;=1115,3.39,IF(D19&lt;=2400,4.96,"---")))))),IF('Исходные данные'!M18=3,IF(D19&lt;=180,2.54,IF(D19&lt;=300,3.34,IF(D19&lt;=495,2.95,IF(D19&lt;=815,3.15,IF(D19&lt;=1115,3.39,IF(D19&lt;=2400,4.96,0)))))),0))*'Исходные данные'!H18</f>
        <v>0</v>
      </c>
      <c r="U19">
        <f>IF('Исходные данные'!M18=1,IF(D19&lt;=180,2.09,IF(D19&lt;=875,2.14,IF(D19&lt;=1155,2.41,IF(D19&lt;=1215,2.87,IF(D19&lt;=1385,3.05,IF(D19&lt;=1700,3.13,IF(D19&lt;=2400,4.37,0))))))),0)*'Исходные данные'!H18</f>
        <v>0</v>
      </c>
      <c r="V19">
        <f>IFERROR(INDEX(reg_table!B:B,MATCH(CONCATENATE(D19,"X",F19),reg_table!A:A,0)) *'Исходные данные'!H18, 0)</f>
        <v>0</v>
      </c>
      <c r="W19">
        <f>ROUNDDOWN((('Исходные данные'!F18-160)/140),0)</f>
        <v>-1</v>
      </c>
      <c r="X19">
        <f>('Исходные данные'!F18-160)/140</f>
        <v>-1.1428571428571428</v>
      </c>
      <c r="Y19" s="356">
        <f>IF(X19-W19=0,ROUNDDOWN(('Исходные данные'!F18-160)/140,0),ROUNDDOWN(('Исходные данные'!F18-160)/140,0)+1)</f>
        <v>0</v>
      </c>
      <c r="Z19">
        <f>('Исходные данные'!F18-170)/150</f>
        <v>-1.1333333333333333</v>
      </c>
      <c r="AA19">
        <f>ROUNDDOWN((('Исходные данные'!F18-170)/150),0)</f>
        <v>-1</v>
      </c>
      <c r="AB19" s="356">
        <f>IF(Z19-AA19=0,ROUNDDOWN(('Исходные данные'!F18-170)/150,0),ROUNDDOWN(('Исходные данные'!F18-170)/150,0)+1)</f>
        <v>0</v>
      </c>
    </row>
    <row r="20" spans="1:28">
      <c r="A20" s="2">
        <f>'Исходные данные'!B19</f>
        <v>0</v>
      </c>
      <c r="B20" s="15">
        <f>'Исходные данные'!C19</f>
        <v>0</v>
      </c>
      <c r="C20" s="16">
        <f>'Исходные данные'!D19</f>
        <v>0</v>
      </c>
      <c r="D20" s="40" t="str">
        <f>IF('Исходные данные'!C19='Исходные данные'!$M$1,'Исходные данные'!F19,IF('Исходные данные'!C19='Исходные данные'!$M$2,'Исходные данные'!F19,"---"))</f>
        <v>---</v>
      </c>
      <c r="E20" s="40" t="str">
        <f>IF('Исходные данные'!S19=252,"---",IF('Исходные данные'!S19=232,"KCKP",IF('Исходные данные'!S19=212,"KCKP-N","--")))</f>
        <v>--</v>
      </c>
      <c r="F20" s="85" t="str">
        <f>IF('Исходные данные'!M19=2,'Исходные данные'!G19,IF('Исходные данные'!M19=4,'Исходные данные'!G19,'Исходные данные'!I19))</f>
        <v>---</v>
      </c>
      <c r="G20" s="40">
        <f>IF('Исходные данные'!M19=1,'Исходные данные'!H19*2,IF('Исходные данные'!M19=3,'Исходные данные'!H19*2,'Исходные данные'!H19))</f>
        <v>0</v>
      </c>
      <c r="H20" s="40" t="s">
        <v>9</v>
      </c>
      <c r="I20" s="40" t="str">
        <f>IF('Исходные данные'!M19=1,G20,"---")</f>
        <v>---</v>
      </c>
      <c r="J20" s="383" t="str">
        <f>IF('Исходные данные'!L19=1,"ОЦ",IF('Исходные данные'!L19=2,"нерж",IF('Исходные данные'!L19=3,"ОЦ",IF('Исходные данные'!L19=4,"краш","---"))))</f>
        <v>---</v>
      </c>
      <c r="K20" s="68"/>
      <c r="L20" s="1"/>
      <c r="M20" s="1"/>
      <c r="N20" s="1"/>
      <c r="O20" s="42" t="str">
        <f>IF('Исходные данные'!M19=1,'Исходные данные'!O19,IF('Исходные данные'!M19=2,'Исходные данные'!Q19,IF('Исходные данные'!M19=3,'Исходные данные'!P19,IF('Исходные данные'!M19=4,'Исходные данные'!Q19,"---"))))</f>
        <v>---</v>
      </c>
      <c r="P20">
        <f>IF('Исходные данные'!M19=1,IF(AND(160&lt;=D20,D20&lt;310),1,IF(AND(310&lt;=D20,D20&lt;460),2,IF(AND(460&lt;=D20,D20&lt;610),3,IF(AND(610&lt;=D20,D20&lt;760),4,IF(AND(760&lt;=D20,D20&lt;910),5,IF(AND(910&lt;=D20,D20&lt;1060),6,IF(AND(1060&lt;=D20,D20&lt;1210),7,IF(AND(1210&lt;=D20,D20&lt;1360),8,IF(AND(1360&lt;=D20,D20&lt;1510),9,IF(AND(1510&lt;=D20,D20&lt;1660),10,IF(AND(1660&lt;=D20,D20&lt;1810),11,IF(AND(1810&lt;=D20,D20&lt;1960),12,IF(AND(1960&lt;=D20,D20&lt;2110),13,IF(AND(2110&lt;=D20,D20&lt;2260),14,IF(AND(2260&lt;=D20,D20&lt;2410),15,IF(AND(2410&lt;=D20,D20&lt;2500),16,"---")))))))))))))))),IF('Исходные данные'!M19=3,IF(AND(160&lt;=D20,D20&lt;310),1,IF(AND(310&lt;=D20,D20&lt;460),2,IF(AND(460&lt;=D20,D20&lt;610),3,IF(AND(610&lt;=D20,D20&lt;760),4,IF(AND(760&lt;=D20,D20&lt;910),5,IF(AND(910&lt;=D20,D20&lt;1060),6,IF(AND(1060&lt;=D20,D20&lt;1210),7,IF(AND(1210&lt;=D20,D20&lt;1360),8,IF(AND(1360&lt;=D20,D20&lt;1510),9,IF(AND(1510&lt;=D20,D20&lt;1660),10,IF(AND(1660&lt;=D20,D20&lt;1810),11,IF(AND(1810&lt;=D20,D20&lt;1960),12,IF(AND(1960&lt;=D20,D20&lt;2110),13,IF(AND(2110&lt;=D20,D20&lt;2260),14,IF(AND(2260&lt;=D20,D20&lt;2410),15,IF(AND(2410&lt;=D20,D20&lt;2500),16,"---")))))))))))))))),0))</f>
        <v>0</v>
      </c>
      <c r="Q20" s="382">
        <f>IF('Исходные данные'!M19=2,IF(AND(175&lt;=D20,D20&lt;325),1,IF(AND(325&lt;=D20,D20&lt;475),2,IF(AND(475&lt;=D20,D20&lt;625),3,IF(AND(625&lt;=D20,D20&lt;775),4,IF(AND(775&lt;=D20,D20&lt;925),5,IF(AND(925&lt;=D20,D20&lt;1075),6,IF(AND(1075&lt;=D20,D20&lt;1225),7,IF(AND(1225&lt;=D20,D20&lt;1375),8,IF(AND(1375&lt;=D20,D20&lt;1525),9,IF(AND(1525&lt;=D20,D20&lt;1675),10,IF(AND(1675&lt;=D20,D20&lt;1825),11,IF(AND(1825&lt;=D20,D20&lt;1975),12,IF(AND(1975&lt;=D20,D20&lt;2125),13,IF(AND(2125&lt;=D20,D20&lt;2275),14,IF(AND(2275&lt;=D20,D20&lt;2400),15,IF(AND(2400&lt;=D20,D20&lt;2500),16,"---")))))))))))))))),IF('Исходные данные'!M19=4,IF(AND(175&lt;=D20,D20&lt;325),1,IF(AND(325&lt;=D20,D20&lt;475),2,IF(AND(475&lt;=D20,D20&lt;625),3,IF(AND(625&lt;=D20,D20&lt;775),4,IF(AND(775&lt;=D20,D20&lt;925),5,IF(AND(925&lt;=D20,D20&lt;1075),6,IF(AND(1075&lt;=D20,D20&lt;1225),7,IF(AND(1225&lt;=D20,D20&lt;1375),8,IF(AND(1375&lt;=D20,D20&lt;1525),9,IF(AND(1525&lt;=D20,D20&lt;1675),10,IF(AND(1675&lt;=D20,D20&lt;1825),11,IF(AND(1825&lt;=D20,D20&lt;1975),12,IF(AND(1975&lt;=D20,D20&lt;2125),13,IF(AND(2125&lt;=D20,D20&lt;2275),14,IF(AND(2275&lt;=D20,D20&lt;2400),15,IF(AND(2400&lt;=D20,D20&lt;2500),16,"---")))))))))))))))),0))</f>
        <v>0</v>
      </c>
      <c r="R20" s="52">
        <f>IF(OR('Исходные данные'!M19=1,'Исходные данные'!M19=3),P20,Q20)</f>
        <v>0</v>
      </c>
      <c r="S20">
        <f>P20*'Исходные данные'!H19</f>
        <v>0</v>
      </c>
      <c r="T20">
        <f>IF('Исходные данные'!M19=1,IF(D20&lt;=180,2.54,IF(D20&lt;=300,3.34,IF(D20&lt;=495,2.95,IF(D20&lt;=815,3.15,IF(D20&lt;=1115,3.39,IF(D20&lt;=2400,4.96,"---")))))),IF('Исходные данные'!M19=3,IF(D20&lt;=180,2.54,IF(D20&lt;=300,3.34,IF(D20&lt;=495,2.95,IF(D20&lt;=815,3.15,IF(D20&lt;=1115,3.39,IF(D20&lt;=2400,4.96,0)))))),0))*'Исходные данные'!H19</f>
        <v>0</v>
      </c>
      <c r="U20">
        <f>IF('Исходные данные'!M19=1,IF(D20&lt;=180,2.09,IF(D20&lt;=875,2.14,IF(D20&lt;=1155,2.41,IF(D20&lt;=1215,2.87,IF(D20&lt;=1385,3.05,IF(D20&lt;=1700,3.13,IF(D20&lt;=2400,4.37,0))))))),0)*'Исходные данные'!H19</f>
        <v>0</v>
      </c>
      <c r="V20">
        <f>IFERROR(INDEX(reg_table!B:B,MATCH(CONCATENATE(D20,"X",F20),reg_table!A:A,0)) *'Исходные данные'!H19, 0)</f>
        <v>0</v>
      </c>
      <c r="W20">
        <f>ROUNDDOWN((('Исходные данные'!F19-160)/140),0)</f>
        <v>-1</v>
      </c>
      <c r="X20">
        <f>('Исходные данные'!F19-160)/140</f>
        <v>-1.1428571428571428</v>
      </c>
      <c r="Y20" s="356">
        <f>IF(X20-W20=0,ROUNDDOWN(('Исходные данные'!F19-160)/140,0),ROUNDDOWN(('Исходные данные'!F19-160)/140,0)+1)</f>
        <v>0</v>
      </c>
      <c r="Z20">
        <f>('Исходные данные'!F19-170)/150</f>
        <v>-1.1333333333333333</v>
      </c>
      <c r="AA20">
        <f>ROUNDDOWN((('Исходные данные'!F19-170)/150),0)</f>
        <v>-1</v>
      </c>
      <c r="AB20" s="356">
        <f>IF(Z20-AA20=0,ROUNDDOWN(('Исходные данные'!F19-170)/150,0),ROUNDDOWN(('Исходные данные'!F19-170)/150,0)+1)</f>
        <v>0</v>
      </c>
    </row>
    <row r="21" spans="1:28">
      <c r="A21" s="2">
        <f>'Исходные данные'!B20</f>
        <v>0</v>
      </c>
      <c r="B21" s="15">
        <f>'Исходные данные'!C20</f>
        <v>0</v>
      </c>
      <c r="C21" s="16">
        <f>'Исходные данные'!D20</f>
        <v>0</v>
      </c>
      <c r="D21" s="40" t="str">
        <f>IF('Исходные данные'!C20='Исходные данные'!$M$1,'Исходные данные'!F20,IF('Исходные данные'!C20='Исходные данные'!$M$2,'Исходные данные'!F20,"---"))</f>
        <v>---</v>
      </c>
      <c r="E21" s="40" t="str">
        <f>IF('Исходные данные'!S20=252,"---",IF('Исходные данные'!S20=232,"KCKP",IF('Исходные данные'!S20=212,"KCKP-N","--")))</f>
        <v>--</v>
      </c>
      <c r="F21" s="85" t="str">
        <f>IF('Исходные данные'!M20=2,'Исходные данные'!G20,IF('Исходные данные'!M20=4,'Исходные данные'!G20,'Исходные данные'!I20))</f>
        <v>---</v>
      </c>
      <c r="G21" s="40">
        <f>IF('Исходные данные'!M20=1,'Исходные данные'!H20*2,IF('Исходные данные'!M20=3,'Исходные данные'!H20*2,'Исходные данные'!H20))</f>
        <v>0</v>
      </c>
      <c r="H21" s="40" t="s">
        <v>9</v>
      </c>
      <c r="I21" s="40" t="str">
        <f>IF('Исходные данные'!M20=1,G21,"---")</f>
        <v>---</v>
      </c>
      <c r="J21" s="383" t="str">
        <f>IF('Исходные данные'!L20=1,"ОЦ",IF('Исходные данные'!L20=2,"нерж",IF('Исходные данные'!L20=3,"ОЦ",IF('Исходные данные'!L20=4,"краш","---"))))</f>
        <v>---</v>
      </c>
      <c r="K21" s="68"/>
      <c r="L21" s="1"/>
      <c r="M21" s="1"/>
      <c r="N21" s="1"/>
      <c r="O21" s="42" t="str">
        <f>IF('Исходные данные'!M20=1,'Исходные данные'!O20,IF('Исходные данные'!M20=2,'Исходные данные'!Q20,IF('Исходные данные'!M20=3,'Исходные данные'!P20,IF('Исходные данные'!M20=4,'Исходные данные'!Q20,"---"))))</f>
        <v>---</v>
      </c>
      <c r="P21">
        <f>IF('Исходные данные'!M20=1,IF(AND(160&lt;=D21,D21&lt;310),1,IF(AND(310&lt;=D21,D21&lt;460),2,IF(AND(460&lt;=D21,D21&lt;610),3,IF(AND(610&lt;=D21,D21&lt;760),4,IF(AND(760&lt;=D21,D21&lt;910),5,IF(AND(910&lt;=D21,D21&lt;1060),6,IF(AND(1060&lt;=D21,D21&lt;1210),7,IF(AND(1210&lt;=D21,D21&lt;1360),8,IF(AND(1360&lt;=D21,D21&lt;1510),9,IF(AND(1510&lt;=D21,D21&lt;1660),10,IF(AND(1660&lt;=D21,D21&lt;1810),11,IF(AND(1810&lt;=D21,D21&lt;1960),12,IF(AND(1960&lt;=D21,D21&lt;2110),13,IF(AND(2110&lt;=D21,D21&lt;2260),14,IF(AND(2260&lt;=D21,D21&lt;2410),15,IF(AND(2410&lt;=D21,D21&lt;2500),16,"---")))))))))))))))),IF('Исходные данные'!M20=3,IF(AND(160&lt;=D21,D21&lt;310),1,IF(AND(310&lt;=D21,D21&lt;460),2,IF(AND(460&lt;=D21,D21&lt;610),3,IF(AND(610&lt;=D21,D21&lt;760),4,IF(AND(760&lt;=D21,D21&lt;910),5,IF(AND(910&lt;=D21,D21&lt;1060),6,IF(AND(1060&lt;=D21,D21&lt;1210),7,IF(AND(1210&lt;=D21,D21&lt;1360),8,IF(AND(1360&lt;=D21,D21&lt;1510),9,IF(AND(1510&lt;=D21,D21&lt;1660),10,IF(AND(1660&lt;=D21,D21&lt;1810),11,IF(AND(1810&lt;=D21,D21&lt;1960),12,IF(AND(1960&lt;=D21,D21&lt;2110),13,IF(AND(2110&lt;=D21,D21&lt;2260),14,IF(AND(2260&lt;=D21,D21&lt;2410),15,IF(AND(2410&lt;=D21,D21&lt;2500),16,"---")))))))))))))))),0))</f>
        <v>0</v>
      </c>
      <c r="Q21" s="382">
        <f>IF('Исходные данные'!M20=2,IF(AND(175&lt;=D21,D21&lt;325),1,IF(AND(325&lt;=D21,D21&lt;475),2,IF(AND(475&lt;=D21,D21&lt;625),3,IF(AND(625&lt;=D21,D21&lt;775),4,IF(AND(775&lt;=D21,D21&lt;925),5,IF(AND(925&lt;=D21,D21&lt;1075),6,IF(AND(1075&lt;=D21,D21&lt;1225),7,IF(AND(1225&lt;=D21,D21&lt;1375),8,IF(AND(1375&lt;=D21,D21&lt;1525),9,IF(AND(1525&lt;=D21,D21&lt;1675),10,IF(AND(1675&lt;=D21,D21&lt;1825),11,IF(AND(1825&lt;=D21,D21&lt;1975),12,IF(AND(1975&lt;=D21,D21&lt;2125),13,IF(AND(2125&lt;=D21,D21&lt;2275),14,IF(AND(2275&lt;=D21,D21&lt;2400),15,IF(AND(2400&lt;=D21,D21&lt;2500),16,"---")))))))))))))))),IF('Исходные данные'!M20=4,IF(AND(175&lt;=D21,D21&lt;325),1,IF(AND(325&lt;=D21,D21&lt;475),2,IF(AND(475&lt;=D21,D21&lt;625),3,IF(AND(625&lt;=D21,D21&lt;775),4,IF(AND(775&lt;=D21,D21&lt;925),5,IF(AND(925&lt;=D21,D21&lt;1075),6,IF(AND(1075&lt;=D21,D21&lt;1225),7,IF(AND(1225&lt;=D21,D21&lt;1375),8,IF(AND(1375&lt;=D21,D21&lt;1525),9,IF(AND(1525&lt;=D21,D21&lt;1675),10,IF(AND(1675&lt;=D21,D21&lt;1825),11,IF(AND(1825&lt;=D21,D21&lt;1975),12,IF(AND(1975&lt;=D21,D21&lt;2125),13,IF(AND(2125&lt;=D21,D21&lt;2275),14,IF(AND(2275&lt;=D21,D21&lt;2400),15,IF(AND(2400&lt;=D21,D21&lt;2500),16,"---")))))))))))))))),0))</f>
        <v>0</v>
      </c>
      <c r="R21" s="52">
        <f>IF(OR('Исходные данные'!M20=1,'Исходные данные'!M20=3),P21,Q21)</f>
        <v>0</v>
      </c>
      <c r="S21">
        <f>P21*'Исходные данные'!H20</f>
        <v>0</v>
      </c>
      <c r="T21">
        <f>IF('Исходные данные'!M20=1,IF(D21&lt;=180,2.54,IF(D21&lt;=300,3.34,IF(D21&lt;=495,2.95,IF(D21&lt;=815,3.15,IF(D21&lt;=1115,3.39,IF(D21&lt;=2400,4.96,"---")))))),IF('Исходные данные'!M20=3,IF(D21&lt;=180,2.54,IF(D21&lt;=300,3.34,IF(D21&lt;=495,2.95,IF(D21&lt;=815,3.15,IF(D21&lt;=1115,3.39,IF(D21&lt;=2400,4.96,0)))))),0))*'Исходные данные'!H20</f>
        <v>0</v>
      </c>
      <c r="U21">
        <f>IF('Исходные данные'!M20=1,IF(D21&lt;=180,2.09,IF(D21&lt;=875,2.14,IF(D21&lt;=1155,2.41,IF(D21&lt;=1215,2.87,IF(D21&lt;=1385,3.05,IF(D21&lt;=1700,3.13,IF(D21&lt;=2400,4.37,0))))))),0)*'Исходные данные'!H20</f>
        <v>0</v>
      </c>
      <c r="V21">
        <f>IFERROR(INDEX(reg_table!B:B,MATCH(CONCATENATE(D21,"X",F21),reg_table!A:A,0)) *'Исходные данные'!H20, 0)</f>
        <v>0</v>
      </c>
      <c r="W21">
        <f>ROUNDDOWN((('Исходные данные'!F20-160)/140),0)</f>
        <v>-1</v>
      </c>
      <c r="X21">
        <f>('Исходные данные'!F20-160)/140</f>
        <v>-1.1428571428571428</v>
      </c>
      <c r="Y21" s="356">
        <f>IF(X21-W21=0,ROUNDDOWN(('Исходные данные'!F20-160)/140,0),ROUNDDOWN(('Исходные данные'!F20-160)/140,0)+1)</f>
        <v>0</v>
      </c>
      <c r="Z21">
        <f>('Исходные данные'!F20-170)/150</f>
        <v>-1.1333333333333333</v>
      </c>
      <c r="AA21">
        <f>ROUNDDOWN((('Исходные данные'!F20-170)/150),0)</f>
        <v>-1</v>
      </c>
      <c r="AB21" s="356">
        <f>IF(Z21-AA21=0,ROUNDDOWN(('Исходные данные'!F20-170)/150,0),ROUNDDOWN(('Исходные данные'!F20-170)/150,0)+1)</f>
        <v>0</v>
      </c>
    </row>
    <row r="22" spans="1:28">
      <c r="A22" s="2">
        <f>'Исходные данные'!B21</f>
        <v>0</v>
      </c>
      <c r="B22" s="15">
        <f>'Исходные данные'!C21</f>
        <v>0</v>
      </c>
      <c r="C22" s="16">
        <f>'Исходные данные'!D21</f>
        <v>0</v>
      </c>
      <c r="D22" s="40" t="str">
        <f>IF('Исходные данные'!C21='Исходные данные'!$M$1,'Исходные данные'!F21,IF('Исходные данные'!C21='Исходные данные'!$M$2,'Исходные данные'!F21,"---"))</f>
        <v>---</v>
      </c>
      <c r="E22" s="40" t="str">
        <f>IF('Исходные данные'!S21=252,"---",IF('Исходные данные'!S21=232,"KCKP",IF('Исходные данные'!S21=212,"KCKP-N","--")))</f>
        <v>--</v>
      </c>
      <c r="F22" s="85" t="str">
        <f>IF('Исходные данные'!M21=2,'Исходные данные'!G21,IF('Исходные данные'!M21=4,'Исходные данные'!G21,'Исходные данные'!I21))</f>
        <v>---</v>
      </c>
      <c r="G22" s="40">
        <f>IF('Исходные данные'!M21=1,'Исходные данные'!H21*2,IF('Исходные данные'!M21=3,'Исходные данные'!H21*2,'Исходные данные'!H21))</f>
        <v>0</v>
      </c>
      <c r="H22" s="40" t="s">
        <v>9</v>
      </c>
      <c r="I22" s="40" t="str">
        <f>IF('Исходные данные'!M21=1,G22,"---")</f>
        <v>---</v>
      </c>
      <c r="J22" s="383" t="str">
        <f>IF('Исходные данные'!L21=1,"ОЦ",IF('Исходные данные'!L21=2,"нерж",IF('Исходные данные'!L21=3,"ОЦ",IF('Исходные данные'!L21=4,"краш","---"))))</f>
        <v>---</v>
      </c>
      <c r="K22" s="68"/>
      <c r="L22" s="1"/>
      <c r="M22" s="1"/>
      <c r="N22" s="1"/>
      <c r="O22" s="42" t="str">
        <f>IF('Исходные данные'!M21=1,'Исходные данные'!O21,IF('Исходные данные'!M21=2,'Исходные данные'!Q21,IF('Исходные данные'!M21=3,'Исходные данные'!P21,IF('Исходные данные'!M21=4,'Исходные данные'!Q21,"---"))))</f>
        <v>---</v>
      </c>
      <c r="P22">
        <f>IF('Исходные данные'!M21=1,IF(AND(160&lt;=D22,D22&lt;310),1,IF(AND(310&lt;=D22,D22&lt;460),2,IF(AND(460&lt;=D22,D22&lt;610),3,IF(AND(610&lt;=D22,D22&lt;760),4,IF(AND(760&lt;=D22,D22&lt;910),5,IF(AND(910&lt;=D22,D22&lt;1060),6,IF(AND(1060&lt;=D22,D22&lt;1210),7,IF(AND(1210&lt;=D22,D22&lt;1360),8,IF(AND(1360&lt;=D22,D22&lt;1510),9,IF(AND(1510&lt;=D22,D22&lt;1660),10,IF(AND(1660&lt;=D22,D22&lt;1810),11,IF(AND(1810&lt;=D22,D22&lt;1960),12,IF(AND(1960&lt;=D22,D22&lt;2110),13,IF(AND(2110&lt;=D22,D22&lt;2260),14,IF(AND(2260&lt;=D22,D22&lt;2410),15,IF(AND(2410&lt;=D22,D22&lt;2500),16,"---")))))))))))))))),IF('Исходные данные'!M21=3,IF(AND(160&lt;=D22,D22&lt;310),1,IF(AND(310&lt;=D22,D22&lt;460),2,IF(AND(460&lt;=D22,D22&lt;610),3,IF(AND(610&lt;=D22,D22&lt;760),4,IF(AND(760&lt;=D22,D22&lt;910),5,IF(AND(910&lt;=D22,D22&lt;1060),6,IF(AND(1060&lt;=D22,D22&lt;1210),7,IF(AND(1210&lt;=D22,D22&lt;1360),8,IF(AND(1360&lt;=D22,D22&lt;1510),9,IF(AND(1510&lt;=D22,D22&lt;1660),10,IF(AND(1660&lt;=D22,D22&lt;1810),11,IF(AND(1810&lt;=D22,D22&lt;1960),12,IF(AND(1960&lt;=D22,D22&lt;2110),13,IF(AND(2110&lt;=D22,D22&lt;2260),14,IF(AND(2260&lt;=D22,D22&lt;2410),15,IF(AND(2410&lt;=D22,D22&lt;2500),16,"---")))))))))))))))),0))</f>
        <v>0</v>
      </c>
      <c r="Q22" s="382">
        <f>IF('Исходные данные'!M21=2,IF(AND(175&lt;=D22,D22&lt;325),1,IF(AND(325&lt;=D22,D22&lt;475),2,IF(AND(475&lt;=D22,D22&lt;625),3,IF(AND(625&lt;=D22,D22&lt;775),4,IF(AND(775&lt;=D22,D22&lt;925),5,IF(AND(925&lt;=D22,D22&lt;1075),6,IF(AND(1075&lt;=D22,D22&lt;1225),7,IF(AND(1225&lt;=D22,D22&lt;1375),8,IF(AND(1375&lt;=D22,D22&lt;1525),9,IF(AND(1525&lt;=D22,D22&lt;1675),10,IF(AND(1675&lt;=D22,D22&lt;1825),11,IF(AND(1825&lt;=D22,D22&lt;1975),12,IF(AND(1975&lt;=D22,D22&lt;2125),13,IF(AND(2125&lt;=D22,D22&lt;2275),14,IF(AND(2275&lt;=D22,D22&lt;2400),15,IF(AND(2400&lt;=D22,D22&lt;2500),16,"---")))))))))))))))),IF('Исходные данные'!M21=4,IF(AND(175&lt;=D22,D22&lt;325),1,IF(AND(325&lt;=D22,D22&lt;475),2,IF(AND(475&lt;=D22,D22&lt;625),3,IF(AND(625&lt;=D22,D22&lt;775),4,IF(AND(775&lt;=D22,D22&lt;925),5,IF(AND(925&lt;=D22,D22&lt;1075),6,IF(AND(1075&lt;=D22,D22&lt;1225),7,IF(AND(1225&lt;=D22,D22&lt;1375),8,IF(AND(1375&lt;=D22,D22&lt;1525),9,IF(AND(1525&lt;=D22,D22&lt;1675),10,IF(AND(1675&lt;=D22,D22&lt;1825),11,IF(AND(1825&lt;=D22,D22&lt;1975),12,IF(AND(1975&lt;=D22,D22&lt;2125),13,IF(AND(2125&lt;=D22,D22&lt;2275),14,IF(AND(2275&lt;=D22,D22&lt;2400),15,IF(AND(2400&lt;=D22,D22&lt;2500),16,"---")))))))))))))))),0))</f>
        <v>0</v>
      </c>
      <c r="R22" s="52">
        <f>IF(OR('Исходные данные'!M21=1,'Исходные данные'!M21=3),P22,Q22)</f>
        <v>0</v>
      </c>
      <c r="S22">
        <f>P22*'Исходные данные'!H21</f>
        <v>0</v>
      </c>
      <c r="T22">
        <f>IF('Исходные данные'!M21=1,IF(D22&lt;=180,2.54,IF(D22&lt;=300,3.34,IF(D22&lt;=495,2.95,IF(D22&lt;=815,3.15,IF(D22&lt;=1115,3.39,IF(D22&lt;=2400,4.96,"---")))))),IF('Исходные данные'!M21=3,IF(D22&lt;=180,2.54,IF(D22&lt;=300,3.34,IF(D22&lt;=495,2.95,IF(D22&lt;=815,3.15,IF(D22&lt;=1115,3.39,IF(D22&lt;=2400,4.96,0)))))),0))*'Исходные данные'!H21</f>
        <v>0</v>
      </c>
      <c r="U22">
        <f>IF('Исходные данные'!M21=1,IF(D22&lt;=180,2.09,IF(D22&lt;=875,2.14,IF(D22&lt;=1155,2.41,IF(D22&lt;=1215,2.87,IF(D22&lt;=1385,3.05,IF(D22&lt;=1700,3.13,IF(D22&lt;=2400,4.37,0))))))),0)*'Исходные данные'!H21</f>
        <v>0</v>
      </c>
      <c r="V22">
        <f>IFERROR(INDEX(reg_table!B:B,MATCH(CONCATENATE(D22,"X",F22),reg_table!A:A,0)) *'Исходные данные'!H21, 0)</f>
        <v>0</v>
      </c>
      <c r="W22">
        <f>ROUNDDOWN((('Исходные данные'!F21-160)/140),0)</f>
        <v>-1</v>
      </c>
      <c r="X22">
        <f>('Исходные данные'!F21-160)/140</f>
        <v>-1.1428571428571428</v>
      </c>
      <c r="Y22" s="356">
        <f>IF(X22-W22=0,ROUNDDOWN(('Исходные данные'!F21-160)/140,0),ROUNDDOWN(('Исходные данные'!F21-160)/140,0)+1)</f>
        <v>0</v>
      </c>
      <c r="Z22">
        <f>('Исходные данные'!F21-170)/150</f>
        <v>-1.1333333333333333</v>
      </c>
      <c r="AA22">
        <f>ROUNDDOWN((('Исходные данные'!F21-170)/150),0)</f>
        <v>-1</v>
      </c>
      <c r="AB22" s="356">
        <f>IF(Z22-AA22=0,ROUNDDOWN(('Исходные данные'!F21-170)/150,0),ROUNDDOWN(('Исходные данные'!F21-170)/150,0)+1)</f>
        <v>0</v>
      </c>
    </row>
    <row r="23" spans="1:28">
      <c r="A23" s="2">
        <f>'Исходные данные'!B22</f>
        <v>0</v>
      </c>
      <c r="B23" s="15">
        <f>'Исходные данные'!C22</f>
        <v>0</v>
      </c>
      <c r="C23" s="16">
        <f>'Исходные данные'!D22</f>
        <v>0</v>
      </c>
      <c r="D23" s="40" t="str">
        <f>IF('Исходные данные'!C22='Исходные данные'!$M$1,'Исходные данные'!F22,IF('Исходные данные'!C22='Исходные данные'!$M$2,'Исходные данные'!F22,"---"))</f>
        <v>---</v>
      </c>
      <c r="E23" s="40" t="str">
        <f>IF('Исходные данные'!S22=252,"---",IF('Исходные данные'!S22=232,"KCKP",IF('Исходные данные'!S22=212,"KCKP-N","--")))</f>
        <v>--</v>
      </c>
      <c r="F23" s="85" t="str">
        <f>IF('Исходные данные'!M22=2,'Исходные данные'!G22,IF('Исходные данные'!M22=4,'Исходные данные'!G22,'Исходные данные'!I22))</f>
        <v>---</v>
      </c>
      <c r="G23" s="40">
        <f>IF('Исходные данные'!M22=1,'Исходные данные'!H22*2,IF('Исходные данные'!M22=3,'Исходные данные'!H22*2,'Исходные данные'!H22))</f>
        <v>0</v>
      </c>
      <c r="H23" s="40" t="s">
        <v>9</v>
      </c>
      <c r="I23" s="40" t="str">
        <f>IF('Исходные данные'!M22=1,G23,"---")</f>
        <v>---</v>
      </c>
      <c r="J23" s="383" t="str">
        <f>IF('Исходные данные'!L22=1,"ОЦ",IF('Исходные данные'!L22=2,"нерж",IF('Исходные данные'!L22=3,"ОЦ",IF('Исходные данные'!L22=4,"краш","---"))))</f>
        <v>---</v>
      </c>
      <c r="K23" s="68"/>
      <c r="L23" s="1"/>
      <c r="M23" s="1"/>
      <c r="N23" s="1"/>
      <c r="O23" s="42" t="str">
        <f>IF('Исходные данные'!M22=1,'Исходные данные'!O22,IF('Исходные данные'!M22=2,'Исходные данные'!Q22,IF('Исходные данные'!M22=3,'Исходные данные'!P22,IF('Исходные данные'!M22=4,'Исходные данные'!Q22,"---"))))</f>
        <v>---</v>
      </c>
      <c r="P23">
        <f>IF('Исходные данные'!M22=1,IF(AND(160&lt;=D23,D23&lt;310),1,IF(AND(310&lt;=D23,D23&lt;460),2,IF(AND(460&lt;=D23,D23&lt;610),3,IF(AND(610&lt;=D23,D23&lt;760),4,IF(AND(760&lt;=D23,D23&lt;910),5,IF(AND(910&lt;=D23,D23&lt;1060),6,IF(AND(1060&lt;=D23,D23&lt;1210),7,IF(AND(1210&lt;=D23,D23&lt;1360),8,IF(AND(1360&lt;=D23,D23&lt;1510),9,IF(AND(1510&lt;=D23,D23&lt;1660),10,IF(AND(1660&lt;=D23,D23&lt;1810),11,IF(AND(1810&lt;=D23,D23&lt;1960),12,IF(AND(1960&lt;=D23,D23&lt;2110),13,IF(AND(2110&lt;=D23,D23&lt;2260),14,IF(AND(2260&lt;=D23,D23&lt;2410),15,IF(AND(2410&lt;=D23,D23&lt;2500),16,"---")))))))))))))))),IF('Исходные данные'!M22=3,IF(AND(160&lt;=D23,D23&lt;310),1,IF(AND(310&lt;=D23,D23&lt;460),2,IF(AND(460&lt;=D23,D23&lt;610),3,IF(AND(610&lt;=D23,D23&lt;760),4,IF(AND(760&lt;=D23,D23&lt;910),5,IF(AND(910&lt;=D23,D23&lt;1060),6,IF(AND(1060&lt;=D23,D23&lt;1210),7,IF(AND(1210&lt;=D23,D23&lt;1360),8,IF(AND(1360&lt;=D23,D23&lt;1510),9,IF(AND(1510&lt;=D23,D23&lt;1660),10,IF(AND(1660&lt;=D23,D23&lt;1810),11,IF(AND(1810&lt;=D23,D23&lt;1960),12,IF(AND(1960&lt;=D23,D23&lt;2110),13,IF(AND(2110&lt;=D23,D23&lt;2260),14,IF(AND(2260&lt;=D23,D23&lt;2410),15,IF(AND(2410&lt;=D23,D23&lt;2500),16,"---")))))))))))))))),0))</f>
        <v>0</v>
      </c>
      <c r="Q23" s="382">
        <f>IF('Исходные данные'!M22=2,IF(AND(175&lt;=D23,D23&lt;325),1,IF(AND(325&lt;=D23,D23&lt;475),2,IF(AND(475&lt;=D23,D23&lt;625),3,IF(AND(625&lt;=D23,D23&lt;775),4,IF(AND(775&lt;=D23,D23&lt;925),5,IF(AND(925&lt;=D23,D23&lt;1075),6,IF(AND(1075&lt;=D23,D23&lt;1225),7,IF(AND(1225&lt;=D23,D23&lt;1375),8,IF(AND(1375&lt;=D23,D23&lt;1525),9,IF(AND(1525&lt;=D23,D23&lt;1675),10,IF(AND(1675&lt;=D23,D23&lt;1825),11,IF(AND(1825&lt;=D23,D23&lt;1975),12,IF(AND(1975&lt;=D23,D23&lt;2125),13,IF(AND(2125&lt;=D23,D23&lt;2275),14,IF(AND(2275&lt;=D23,D23&lt;2400),15,IF(AND(2400&lt;=D23,D23&lt;2500),16,"---")))))))))))))))),IF('Исходные данные'!M22=4,IF(AND(175&lt;=D23,D23&lt;325),1,IF(AND(325&lt;=D23,D23&lt;475),2,IF(AND(475&lt;=D23,D23&lt;625),3,IF(AND(625&lt;=D23,D23&lt;775),4,IF(AND(775&lt;=D23,D23&lt;925),5,IF(AND(925&lt;=D23,D23&lt;1075),6,IF(AND(1075&lt;=D23,D23&lt;1225),7,IF(AND(1225&lt;=D23,D23&lt;1375),8,IF(AND(1375&lt;=D23,D23&lt;1525),9,IF(AND(1525&lt;=D23,D23&lt;1675),10,IF(AND(1675&lt;=D23,D23&lt;1825),11,IF(AND(1825&lt;=D23,D23&lt;1975),12,IF(AND(1975&lt;=D23,D23&lt;2125),13,IF(AND(2125&lt;=D23,D23&lt;2275),14,IF(AND(2275&lt;=D23,D23&lt;2400),15,IF(AND(2400&lt;=D23,D23&lt;2500),16,"---")))))))))))))))),0))</f>
        <v>0</v>
      </c>
      <c r="R23" s="52">
        <f>IF(OR('Исходные данные'!M22=1,'Исходные данные'!M22=3),P23,Q23)</f>
        <v>0</v>
      </c>
      <c r="S23">
        <f>P23*'Исходные данные'!H22</f>
        <v>0</v>
      </c>
      <c r="T23">
        <f>IF('Исходные данные'!M22=1,IF(D23&lt;=180,2.54,IF(D23&lt;=300,3.34,IF(D23&lt;=495,2.95,IF(D23&lt;=815,3.15,IF(D23&lt;=1115,3.39,IF(D23&lt;=2400,4.96,"---")))))),IF('Исходные данные'!M22=3,IF(D23&lt;=180,2.54,IF(D23&lt;=300,3.34,IF(D23&lt;=495,2.95,IF(D23&lt;=815,3.15,IF(D23&lt;=1115,3.39,IF(D23&lt;=2400,4.96,0)))))),0))*'Исходные данные'!H22</f>
        <v>0</v>
      </c>
      <c r="U23">
        <f>IF('Исходные данные'!M22=1,IF(D23&lt;=180,2.09,IF(D23&lt;=875,2.14,IF(D23&lt;=1155,2.41,IF(D23&lt;=1215,2.87,IF(D23&lt;=1385,3.05,IF(D23&lt;=1700,3.13,IF(D23&lt;=2400,4.37,0))))))),0)*'Исходные данные'!H22</f>
        <v>0</v>
      </c>
      <c r="V23">
        <f>IFERROR(INDEX(reg_table!B:B,MATCH(CONCATENATE(D23,"X",F23),reg_table!A:A,0)) *'Исходные данные'!H22, 0)</f>
        <v>0</v>
      </c>
      <c r="W23">
        <f>ROUNDDOWN((('Исходные данные'!F22-160)/140),0)</f>
        <v>-1</v>
      </c>
      <c r="X23">
        <f>('Исходные данные'!F22-160)/140</f>
        <v>-1.1428571428571428</v>
      </c>
      <c r="Y23" s="356">
        <f>IF(X23-W23=0,ROUNDDOWN(('Исходные данные'!F22-160)/140,0),ROUNDDOWN(('Исходные данные'!F22-160)/140,0)+1)</f>
        <v>0</v>
      </c>
      <c r="Z23">
        <f>('Исходные данные'!F22-170)/150</f>
        <v>-1.1333333333333333</v>
      </c>
      <c r="AA23">
        <f>ROUNDDOWN((('Исходные данные'!F22-170)/150),0)</f>
        <v>-1</v>
      </c>
      <c r="AB23" s="356">
        <f>IF(Z23-AA23=0,ROUNDDOWN(('Исходные данные'!F22-170)/150,0),ROUNDDOWN(('Исходные данные'!F22-170)/150,0)+1)</f>
        <v>0</v>
      </c>
    </row>
    <row r="24" spans="1:28">
      <c r="A24" s="2">
        <f>'Исходные данные'!B23</f>
        <v>0</v>
      </c>
      <c r="B24" s="15">
        <f>'Исходные данные'!C23</f>
        <v>0</v>
      </c>
      <c r="C24" s="16">
        <f>'Исходные данные'!D23</f>
        <v>0</v>
      </c>
      <c r="D24" s="40" t="str">
        <f>IF('Исходные данные'!C23='Исходные данные'!$M$1,'Исходные данные'!F23,IF('Исходные данные'!C23='Исходные данные'!$M$2,'Исходные данные'!F23,"---"))</f>
        <v>---</v>
      </c>
      <c r="E24" s="40" t="str">
        <f>IF('Исходные данные'!S23=252,"---",IF('Исходные данные'!S23=232,"KCKP",IF('Исходные данные'!S23=212,"KCKP-N","--")))</f>
        <v>--</v>
      </c>
      <c r="F24" s="85" t="str">
        <f>IF('Исходные данные'!M23=2,'Исходные данные'!G23,IF('Исходные данные'!M23=4,'Исходные данные'!G23,'Исходные данные'!I23))</f>
        <v>---</v>
      </c>
      <c r="G24" s="40">
        <f>IF('Исходные данные'!M23=1,'Исходные данные'!H23*2,IF('Исходные данные'!M23=3,'Исходные данные'!H23*2,'Исходные данные'!H23))</f>
        <v>0</v>
      </c>
      <c r="H24" s="40" t="s">
        <v>9</v>
      </c>
      <c r="I24" s="40" t="str">
        <f>IF('Исходные данные'!M23=1,G24,"---")</f>
        <v>---</v>
      </c>
      <c r="J24" s="383" t="str">
        <f>IF('Исходные данные'!L23=1,"ОЦ",IF('Исходные данные'!L23=2,"нерж",IF('Исходные данные'!L23=3,"ОЦ",IF('Исходные данные'!L23=4,"краш","---"))))</f>
        <v>---</v>
      </c>
      <c r="K24" s="68"/>
      <c r="L24" s="1"/>
      <c r="M24" s="1"/>
      <c r="N24" s="1"/>
      <c r="O24" s="42" t="str">
        <f>IF('Исходные данные'!M23=1,'Исходные данные'!O23,IF('Исходные данные'!M23=2,'Исходные данные'!Q23,IF('Исходные данные'!M23=3,'Исходные данные'!P23,IF('Исходные данные'!M23=4,'Исходные данные'!Q23,"---"))))</f>
        <v>---</v>
      </c>
      <c r="P24">
        <f>IF('Исходные данные'!M23=1,IF(AND(160&lt;=D24,D24&lt;310),1,IF(AND(310&lt;=D24,D24&lt;460),2,IF(AND(460&lt;=D24,D24&lt;610),3,IF(AND(610&lt;=D24,D24&lt;760),4,IF(AND(760&lt;=D24,D24&lt;910),5,IF(AND(910&lt;=D24,D24&lt;1060),6,IF(AND(1060&lt;=D24,D24&lt;1210),7,IF(AND(1210&lt;=D24,D24&lt;1360),8,IF(AND(1360&lt;=D24,D24&lt;1510),9,IF(AND(1510&lt;=D24,D24&lt;1660),10,IF(AND(1660&lt;=D24,D24&lt;1810),11,IF(AND(1810&lt;=D24,D24&lt;1960),12,IF(AND(1960&lt;=D24,D24&lt;2110),13,IF(AND(2110&lt;=D24,D24&lt;2260),14,IF(AND(2260&lt;=D24,D24&lt;2410),15,IF(AND(2410&lt;=D24,D24&lt;2500),16,"---")))))))))))))))),IF('Исходные данные'!M23=3,IF(AND(160&lt;=D24,D24&lt;310),1,IF(AND(310&lt;=D24,D24&lt;460),2,IF(AND(460&lt;=D24,D24&lt;610),3,IF(AND(610&lt;=D24,D24&lt;760),4,IF(AND(760&lt;=D24,D24&lt;910),5,IF(AND(910&lt;=D24,D24&lt;1060),6,IF(AND(1060&lt;=D24,D24&lt;1210),7,IF(AND(1210&lt;=D24,D24&lt;1360),8,IF(AND(1360&lt;=D24,D24&lt;1510),9,IF(AND(1510&lt;=D24,D24&lt;1660),10,IF(AND(1660&lt;=D24,D24&lt;1810),11,IF(AND(1810&lt;=D24,D24&lt;1960),12,IF(AND(1960&lt;=D24,D24&lt;2110),13,IF(AND(2110&lt;=D24,D24&lt;2260),14,IF(AND(2260&lt;=D24,D24&lt;2410),15,IF(AND(2410&lt;=D24,D24&lt;2500),16,"---")))))))))))))))),0))</f>
        <v>0</v>
      </c>
      <c r="Q24" s="382">
        <f>IF('Исходные данные'!M23=2,IF(AND(175&lt;=D24,D24&lt;325),1,IF(AND(325&lt;=D24,D24&lt;475),2,IF(AND(475&lt;=D24,D24&lt;625),3,IF(AND(625&lt;=D24,D24&lt;775),4,IF(AND(775&lt;=D24,D24&lt;925),5,IF(AND(925&lt;=D24,D24&lt;1075),6,IF(AND(1075&lt;=D24,D24&lt;1225),7,IF(AND(1225&lt;=D24,D24&lt;1375),8,IF(AND(1375&lt;=D24,D24&lt;1525),9,IF(AND(1525&lt;=D24,D24&lt;1675),10,IF(AND(1675&lt;=D24,D24&lt;1825),11,IF(AND(1825&lt;=D24,D24&lt;1975),12,IF(AND(1975&lt;=D24,D24&lt;2125),13,IF(AND(2125&lt;=D24,D24&lt;2275),14,IF(AND(2275&lt;=D24,D24&lt;2400),15,IF(AND(2400&lt;=D24,D24&lt;2500),16,"---")))))))))))))))),IF('Исходные данные'!M23=4,IF(AND(175&lt;=D24,D24&lt;325),1,IF(AND(325&lt;=D24,D24&lt;475),2,IF(AND(475&lt;=D24,D24&lt;625),3,IF(AND(625&lt;=D24,D24&lt;775),4,IF(AND(775&lt;=D24,D24&lt;925),5,IF(AND(925&lt;=D24,D24&lt;1075),6,IF(AND(1075&lt;=D24,D24&lt;1225),7,IF(AND(1225&lt;=D24,D24&lt;1375),8,IF(AND(1375&lt;=D24,D24&lt;1525),9,IF(AND(1525&lt;=D24,D24&lt;1675),10,IF(AND(1675&lt;=D24,D24&lt;1825),11,IF(AND(1825&lt;=D24,D24&lt;1975),12,IF(AND(1975&lt;=D24,D24&lt;2125),13,IF(AND(2125&lt;=D24,D24&lt;2275),14,IF(AND(2275&lt;=D24,D24&lt;2400),15,IF(AND(2400&lt;=D24,D24&lt;2500),16,"---")))))))))))))))),0))</f>
        <v>0</v>
      </c>
      <c r="R24" s="52">
        <f>IF(OR('Исходные данные'!M23=1,'Исходные данные'!M23=3),P24,Q24)</f>
        <v>0</v>
      </c>
      <c r="S24">
        <f>P24*'Исходные данные'!H23</f>
        <v>0</v>
      </c>
      <c r="T24">
        <f>IF('Исходные данные'!M23=1,IF(D24&lt;=180,2.54,IF(D24&lt;=300,3.34,IF(D24&lt;=495,2.95,IF(D24&lt;=815,3.15,IF(D24&lt;=1115,3.39,IF(D24&lt;=2400,4.96,"---")))))),IF('Исходные данные'!M23=3,IF(D24&lt;=180,2.54,IF(D24&lt;=300,3.34,IF(D24&lt;=495,2.95,IF(D24&lt;=815,3.15,IF(D24&lt;=1115,3.39,IF(D24&lt;=2400,4.96,0)))))),0))*'Исходные данные'!H23</f>
        <v>0</v>
      </c>
      <c r="U24">
        <f>IF('Исходные данные'!M23=1,IF(D24&lt;=180,2.09,IF(D24&lt;=875,2.14,IF(D24&lt;=1155,2.41,IF(D24&lt;=1215,2.87,IF(D24&lt;=1385,3.05,IF(D24&lt;=1700,3.13,IF(D24&lt;=2400,4.37,0))))))),0)*'Исходные данные'!H23</f>
        <v>0</v>
      </c>
      <c r="V24">
        <f>IFERROR(INDEX(reg_table!B:B,MATCH(CONCATENATE(D24,"X",F24),reg_table!A:A,0)) *'Исходные данные'!H23, 0)</f>
        <v>0</v>
      </c>
      <c r="W24">
        <f>ROUNDDOWN((('Исходные данные'!F23-160)/140),0)</f>
        <v>-1</v>
      </c>
      <c r="X24">
        <f>('Исходные данные'!F23-160)/140</f>
        <v>-1.1428571428571428</v>
      </c>
      <c r="Y24" s="356">
        <f>IF(X24-W24=0,ROUNDDOWN(('Исходные данные'!F23-160)/140,0),ROUNDDOWN(('Исходные данные'!F23-160)/140,0)+1)</f>
        <v>0</v>
      </c>
      <c r="Z24">
        <f>('Исходные данные'!F23-170)/150</f>
        <v>-1.1333333333333333</v>
      </c>
      <c r="AA24">
        <f>ROUNDDOWN((('Исходные данные'!F23-170)/150),0)</f>
        <v>-1</v>
      </c>
      <c r="AB24" s="356">
        <f>IF(Z24-AA24=0,ROUNDDOWN(('Исходные данные'!F23-170)/150,0),ROUNDDOWN(('Исходные данные'!F23-170)/150,0)+1)</f>
        <v>0</v>
      </c>
    </row>
    <row r="25" spans="1:28">
      <c r="A25" s="2">
        <f>'Исходные данные'!B24</f>
        <v>0</v>
      </c>
      <c r="B25" s="15">
        <f>'Исходные данные'!C24</f>
        <v>0</v>
      </c>
      <c r="C25" s="16">
        <f>'Исходные данные'!D24</f>
        <v>0</v>
      </c>
      <c r="D25" s="40" t="str">
        <f>IF('Исходные данные'!C24='Исходные данные'!$M$1,'Исходные данные'!F24,IF('Исходные данные'!C24='Исходные данные'!$M$2,'Исходные данные'!F24,"---"))</f>
        <v>---</v>
      </c>
      <c r="E25" s="40" t="str">
        <f>IF('Исходные данные'!S24=252,"---",IF('Исходные данные'!S24=232,"KCKP",IF('Исходные данные'!S24=212,"KCKP-N","--")))</f>
        <v>--</v>
      </c>
      <c r="F25" s="85" t="str">
        <f>IF('Исходные данные'!M24=2,'Исходные данные'!G24,IF('Исходные данные'!M24=4,'Исходные данные'!G24,'Исходные данные'!I24))</f>
        <v>---</v>
      </c>
      <c r="G25" s="40">
        <f>IF('Исходные данные'!M24=1,'Исходные данные'!H24*2,IF('Исходные данные'!M24=3,'Исходные данные'!H24*2,'Исходные данные'!H24))</f>
        <v>0</v>
      </c>
      <c r="H25" s="40" t="s">
        <v>9</v>
      </c>
      <c r="I25" s="40" t="str">
        <f>IF('Исходные данные'!M24=1,G25,"---")</f>
        <v>---</v>
      </c>
      <c r="J25" s="383" t="str">
        <f>IF('Исходные данные'!L24=1,"ОЦ",IF('Исходные данные'!L24=2,"нерж",IF('Исходные данные'!L24=3,"ОЦ",IF('Исходные данные'!L24=4,"краш","---"))))</f>
        <v>---</v>
      </c>
      <c r="K25" s="68"/>
      <c r="L25" s="1"/>
      <c r="M25" s="1"/>
      <c r="N25" s="1"/>
      <c r="O25" s="42" t="str">
        <f>IF('Исходные данные'!M24=1,'Исходные данные'!O24,IF('Исходные данные'!M24=2,'Исходные данные'!Q24,IF('Исходные данные'!M24=3,'Исходные данные'!P24,IF('Исходные данные'!M24=4,'Исходные данные'!Q24,"---"))))</f>
        <v>---</v>
      </c>
      <c r="P25">
        <f>IF('Исходные данные'!M24=1,IF(AND(160&lt;=D25,D25&lt;310),1,IF(AND(310&lt;=D25,D25&lt;460),2,IF(AND(460&lt;=D25,D25&lt;610),3,IF(AND(610&lt;=D25,D25&lt;760),4,IF(AND(760&lt;=D25,D25&lt;910),5,IF(AND(910&lt;=D25,D25&lt;1060),6,IF(AND(1060&lt;=D25,D25&lt;1210),7,IF(AND(1210&lt;=D25,D25&lt;1360),8,IF(AND(1360&lt;=D25,D25&lt;1510),9,IF(AND(1510&lt;=D25,D25&lt;1660),10,IF(AND(1660&lt;=D25,D25&lt;1810),11,IF(AND(1810&lt;=D25,D25&lt;1960),12,IF(AND(1960&lt;=D25,D25&lt;2110),13,IF(AND(2110&lt;=D25,D25&lt;2260),14,IF(AND(2260&lt;=D25,D25&lt;2410),15,IF(AND(2410&lt;=D25,D25&lt;2500),16,"---")))))))))))))))),IF('Исходные данные'!M24=3,IF(AND(160&lt;=D25,D25&lt;310),1,IF(AND(310&lt;=D25,D25&lt;460),2,IF(AND(460&lt;=D25,D25&lt;610),3,IF(AND(610&lt;=D25,D25&lt;760),4,IF(AND(760&lt;=D25,D25&lt;910),5,IF(AND(910&lt;=D25,D25&lt;1060),6,IF(AND(1060&lt;=D25,D25&lt;1210),7,IF(AND(1210&lt;=D25,D25&lt;1360),8,IF(AND(1360&lt;=D25,D25&lt;1510),9,IF(AND(1510&lt;=D25,D25&lt;1660),10,IF(AND(1660&lt;=D25,D25&lt;1810),11,IF(AND(1810&lt;=D25,D25&lt;1960),12,IF(AND(1960&lt;=D25,D25&lt;2110),13,IF(AND(2110&lt;=D25,D25&lt;2260),14,IF(AND(2260&lt;=D25,D25&lt;2410),15,IF(AND(2410&lt;=D25,D25&lt;2500),16,"---")))))))))))))))),0))</f>
        <v>0</v>
      </c>
      <c r="Q25" s="382">
        <f>IF('Исходные данные'!M24=2,IF(AND(175&lt;=D25,D25&lt;325),1,IF(AND(325&lt;=D25,D25&lt;475),2,IF(AND(475&lt;=D25,D25&lt;625),3,IF(AND(625&lt;=D25,D25&lt;775),4,IF(AND(775&lt;=D25,D25&lt;925),5,IF(AND(925&lt;=D25,D25&lt;1075),6,IF(AND(1075&lt;=D25,D25&lt;1225),7,IF(AND(1225&lt;=D25,D25&lt;1375),8,IF(AND(1375&lt;=D25,D25&lt;1525),9,IF(AND(1525&lt;=D25,D25&lt;1675),10,IF(AND(1675&lt;=D25,D25&lt;1825),11,IF(AND(1825&lt;=D25,D25&lt;1975),12,IF(AND(1975&lt;=D25,D25&lt;2125),13,IF(AND(2125&lt;=D25,D25&lt;2275),14,IF(AND(2275&lt;=D25,D25&lt;2400),15,IF(AND(2400&lt;=D25,D25&lt;2500),16,"---")))))))))))))))),IF('Исходные данные'!M24=4,IF(AND(175&lt;=D25,D25&lt;325),1,IF(AND(325&lt;=D25,D25&lt;475),2,IF(AND(475&lt;=D25,D25&lt;625),3,IF(AND(625&lt;=D25,D25&lt;775),4,IF(AND(775&lt;=D25,D25&lt;925),5,IF(AND(925&lt;=D25,D25&lt;1075),6,IF(AND(1075&lt;=D25,D25&lt;1225),7,IF(AND(1225&lt;=D25,D25&lt;1375),8,IF(AND(1375&lt;=D25,D25&lt;1525),9,IF(AND(1525&lt;=D25,D25&lt;1675),10,IF(AND(1675&lt;=D25,D25&lt;1825),11,IF(AND(1825&lt;=D25,D25&lt;1975),12,IF(AND(1975&lt;=D25,D25&lt;2125),13,IF(AND(2125&lt;=D25,D25&lt;2275),14,IF(AND(2275&lt;=D25,D25&lt;2400),15,IF(AND(2400&lt;=D25,D25&lt;2500),16,"---")))))))))))))))),0))</f>
        <v>0</v>
      </c>
      <c r="R25" s="52">
        <f>IF(OR('Исходные данные'!M24=1,'Исходные данные'!M24=3),P25,Q25)</f>
        <v>0</v>
      </c>
      <c r="S25">
        <f>P25*'Исходные данные'!H24</f>
        <v>0</v>
      </c>
      <c r="T25">
        <f>IF('Исходные данные'!M24=1,IF(D25&lt;=180,2.54,IF(D25&lt;=300,3.34,IF(D25&lt;=495,2.95,IF(D25&lt;=815,3.15,IF(D25&lt;=1115,3.39,IF(D25&lt;=2400,4.96,"---")))))),IF('Исходные данные'!M24=3,IF(D25&lt;=180,2.54,IF(D25&lt;=300,3.34,IF(D25&lt;=495,2.95,IF(D25&lt;=815,3.15,IF(D25&lt;=1115,3.39,IF(D25&lt;=2400,4.96,0)))))),0))*'Исходные данные'!H24</f>
        <v>0</v>
      </c>
      <c r="U25">
        <f>IF('Исходные данные'!M24=1,IF(D25&lt;=180,2.09,IF(D25&lt;=875,2.14,IF(D25&lt;=1155,2.41,IF(D25&lt;=1215,2.87,IF(D25&lt;=1385,3.05,IF(D25&lt;=1700,3.13,IF(D25&lt;=2400,4.37,0))))))),0)*'Исходные данные'!H24</f>
        <v>0</v>
      </c>
      <c r="V25">
        <f>IFERROR(INDEX(reg_table!B:B,MATCH(CONCATENATE(D25,"X",F25),reg_table!A:A,0)) *'Исходные данные'!H24, 0)</f>
        <v>0</v>
      </c>
      <c r="W25">
        <f>ROUNDDOWN((('Исходные данные'!F24-160)/140),0)</f>
        <v>-1</v>
      </c>
      <c r="X25">
        <f>('Исходные данные'!F24-160)/140</f>
        <v>-1.1428571428571428</v>
      </c>
      <c r="Y25" s="356">
        <f>IF(X25-W25=0,ROUNDDOWN(('Исходные данные'!F24-160)/140,0),ROUNDDOWN(('Исходные данные'!F24-160)/140,0)+1)</f>
        <v>0</v>
      </c>
      <c r="Z25">
        <f>('Исходные данные'!F24-170)/150</f>
        <v>-1.1333333333333333</v>
      </c>
      <c r="AA25">
        <f>ROUNDDOWN((('Исходные данные'!F24-170)/150),0)</f>
        <v>-1</v>
      </c>
      <c r="AB25" s="356">
        <f>IF(Z25-AA25=0,ROUNDDOWN(('Исходные данные'!F24-170)/150,0),ROUNDDOWN(('Исходные данные'!F24-170)/150,0)+1)</f>
        <v>0</v>
      </c>
    </row>
    <row r="26" spans="1:28">
      <c r="A26" s="2">
        <f>'Исходные данные'!B25</f>
        <v>0</v>
      </c>
      <c r="B26" s="15">
        <f>'Исходные данные'!C25</f>
        <v>0</v>
      </c>
      <c r="C26" s="16">
        <f>'Исходные данные'!D25</f>
        <v>0</v>
      </c>
      <c r="D26" s="40" t="str">
        <f>IF('Исходные данные'!C25='Исходные данные'!$M$1,'Исходные данные'!F25,IF('Исходные данные'!C25='Исходные данные'!$M$2,'Исходные данные'!F25,"---"))</f>
        <v>---</v>
      </c>
      <c r="E26" s="40" t="str">
        <f>IF('Исходные данные'!S25=252,"---",IF('Исходные данные'!S25=232,"KCKP",IF('Исходные данные'!S25=212,"KCKP-N","--")))</f>
        <v>--</v>
      </c>
      <c r="F26" s="85" t="str">
        <f>IF('Исходные данные'!M25=2,'Исходные данные'!G25,IF('Исходные данные'!M25=4,'Исходные данные'!G25,'Исходные данные'!I25))</f>
        <v>---</v>
      </c>
      <c r="G26" s="40">
        <f>IF('Исходные данные'!M25=1,'Исходные данные'!H25*2,IF('Исходные данные'!M25=3,'Исходные данные'!H25*2,'Исходные данные'!H25))</f>
        <v>0</v>
      </c>
      <c r="H26" s="40" t="s">
        <v>9</v>
      </c>
      <c r="I26" s="40" t="str">
        <f>IF('Исходные данные'!M25=1,G26,"---")</f>
        <v>---</v>
      </c>
      <c r="J26" s="383" t="str">
        <f>IF('Исходные данные'!L25=1,"ОЦ",IF('Исходные данные'!L25=2,"нерж",IF('Исходные данные'!L25=3,"ОЦ",IF('Исходные данные'!L25=4,"краш","---"))))</f>
        <v>---</v>
      </c>
      <c r="K26" s="68"/>
      <c r="L26" s="1"/>
      <c r="M26" s="1"/>
      <c r="N26" s="1"/>
      <c r="O26" s="42" t="str">
        <f>IF('Исходные данные'!M25=1,'Исходные данные'!O25,IF('Исходные данные'!M25=2,'Исходные данные'!Q25,IF('Исходные данные'!M25=3,'Исходные данные'!P25,IF('Исходные данные'!M25=4,'Исходные данные'!Q25,"---"))))</f>
        <v>---</v>
      </c>
      <c r="P26">
        <f>IF('Исходные данные'!M25=1,IF(AND(160&lt;=D26,D26&lt;310),1,IF(AND(310&lt;=D26,D26&lt;460),2,IF(AND(460&lt;=D26,D26&lt;610),3,IF(AND(610&lt;=D26,D26&lt;760),4,IF(AND(760&lt;=D26,D26&lt;910),5,IF(AND(910&lt;=D26,D26&lt;1060),6,IF(AND(1060&lt;=D26,D26&lt;1210),7,IF(AND(1210&lt;=D26,D26&lt;1360),8,IF(AND(1360&lt;=D26,D26&lt;1510),9,IF(AND(1510&lt;=D26,D26&lt;1660),10,IF(AND(1660&lt;=D26,D26&lt;1810),11,IF(AND(1810&lt;=D26,D26&lt;1960),12,IF(AND(1960&lt;=D26,D26&lt;2110),13,IF(AND(2110&lt;=D26,D26&lt;2260),14,IF(AND(2260&lt;=D26,D26&lt;2410),15,IF(AND(2410&lt;=D26,D26&lt;2500),16,"---")))))))))))))))),IF('Исходные данные'!M25=3,IF(AND(160&lt;=D26,D26&lt;310),1,IF(AND(310&lt;=D26,D26&lt;460),2,IF(AND(460&lt;=D26,D26&lt;610),3,IF(AND(610&lt;=D26,D26&lt;760),4,IF(AND(760&lt;=D26,D26&lt;910),5,IF(AND(910&lt;=D26,D26&lt;1060),6,IF(AND(1060&lt;=D26,D26&lt;1210),7,IF(AND(1210&lt;=D26,D26&lt;1360),8,IF(AND(1360&lt;=D26,D26&lt;1510),9,IF(AND(1510&lt;=D26,D26&lt;1660),10,IF(AND(1660&lt;=D26,D26&lt;1810),11,IF(AND(1810&lt;=D26,D26&lt;1960),12,IF(AND(1960&lt;=D26,D26&lt;2110),13,IF(AND(2110&lt;=D26,D26&lt;2260),14,IF(AND(2260&lt;=D26,D26&lt;2410),15,IF(AND(2410&lt;=D26,D26&lt;2500),16,"---")))))))))))))))),0))</f>
        <v>0</v>
      </c>
      <c r="Q26" s="382">
        <f>IF('Исходные данные'!M25=2,IF(AND(175&lt;=D26,D26&lt;325),1,IF(AND(325&lt;=D26,D26&lt;475),2,IF(AND(475&lt;=D26,D26&lt;625),3,IF(AND(625&lt;=D26,D26&lt;775),4,IF(AND(775&lt;=D26,D26&lt;925),5,IF(AND(925&lt;=D26,D26&lt;1075),6,IF(AND(1075&lt;=D26,D26&lt;1225),7,IF(AND(1225&lt;=D26,D26&lt;1375),8,IF(AND(1375&lt;=D26,D26&lt;1525),9,IF(AND(1525&lt;=D26,D26&lt;1675),10,IF(AND(1675&lt;=D26,D26&lt;1825),11,IF(AND(1825&lt;=D26,D26&lt;1975),12,IF(AND(1975&lt;=D26,D26&lt;2125),13,IF(AND(2125&lt;=D26,D26&lt;2275),14,IF(AND(2275&lt;=D26,D26&lt;2400),15,IF(AND(2400&lt;=D26,D26&lt;2500),16,"---")))))))))))))))),IF('Исходные данные'!M25=4,IF(AND(175&lt;=D26,D26&lt;325),1,IF(AND(325&lt;=D26,D26&lt;475),2,IF(AND(475&lt;=D26,D26&lt;625),3,IF(AND(625&lt;=D26,D26&lt;775),4,IF(AND(775&lt;=D26,D26&lt;925),5,IF(AND(925&lt;=D26,D26&lt;1075),6,IF(AND(1075&lt;=D26,D26&lt;1225),7,IF(AND(1225&lt;=D26,D26&lt;1375),8,IF(AND(1375&lt;=D26,D26&lt;1525),9,IF(AND(1525&lt;=D26,D26&lt;1675),10,IF(AND(1675&lt;=D26,D26&lt;1825),11,IF(AND(1825&lt;=D26,D26&lt;1975),12,IF(AND(1975&lt;=D26,D26&lt;2125),13,IF(AND(2125&lt;=D26,D26&lt;2275),14,IF(AND(2275&lt;=D26,D26&lt;2400),15,IF(AND(2400&lt;=D26,D26&lt;2500),16,"---")))))))))))))))),0))</f>
        <v>0</v>
      </c>
      <c r="R26" s="52">
        <f>IF(OR('Исходные данные'!M25=1,'Исходные данные'!M25=3),P26,Q26)</f>
        <v>0</v>
      </c>
      <c r="S26">
        <f>P26*'Исходные данные'!H25</f>
        <v>0</v>
      </c>
      <c r="T26">
        <f>IF('Исходные данные'!M25=1,IF(D26&lt;=180,2.54,IF(D26&lt;=300,3.34,IF(D26&lt;=495,2.95,IF(D26&lt;=815,3.15,IF(D26&lt;=1115,3.39,IF(D26&lt;=2400,4.96,"---")))))),IF('Исходные данные'!M25=3,IF(D26&lt;=180,2.54,IF(D26&lt;=300,3.34,IF(D26&lt;=495,2.95,IF(D26&lt;=815,3.15,IF(D26&lt;=1115,3.39,IF(D26&lt;=2400,4.96,0)))))),0))*'Исходные данные'!H25</f>
        <v>0</v>
      </c>
      <c r="U26">
        <f>IF('Исходные данные'!M25=1,IF(D26&lt;=180,2.09,IF(D26&lt;=875,2.14,IF(D26&lt;=1155,2.41,IF(D26&lt;=1215,2.87,IF(D26&lt;=1385,3.05,IF(D26&lt;=1700,3.13,IF(D26&lt;=2400,4.37,0))))))),0)*'Исходные данные'!H25</f>
        <v>0</v>
      </c>
      <c r="V26">
        <f>IFERROR(INDEX(reg_table!B:B,MATCH(CONCATENATE(D26,"X",F26),reg_table!A:A,0)) *'Исходные данные'!H25, 0)</f>
        <v>0</v>
      </c>
      <c r="W26">
        <f>ROUNDDOWN((('Исходные данные'!F25-160)/140),0)</f>
        <v>-1</v>
      </c>
      <c r="X26">
        <f>('Исходные данные'!F25-160)/140</f>
        <v>-1.1428571428571428</v>
      </c>
      <c r="Y26" s="356">
        <f>IF(X26-W26=0,ROUNDDOWN(('Исходные данные'!F25-160)/140,0),ROUNDDOWN(('Исходные данные'!F25-160)/140,0)+1)</f>
        <v>0</v>
      </c>
      <c r="Z26">
        <f>('Исходные данные'!F25-170)/150</f>
        <v>-1.1333333333333333</v>
      </c>
      <c r="AA26">
        <f>ROUNDDOWN((('Исходные данные'!F25-170)/150),0)</f>
        <v>-1</v>
      </c>
      <c r="AB26" s="356">
        <f>IF(Z26-AA26=0,ROUNDDOWN(('Исходные данные'!F25-170)/150,0),ROUNDDOWN(('Исходные данные'!F25-170)/150,0)+1)</f>
        <v>0</v>
      </c>
    </row>
    <row r="27" spans="1:28" ht="15.75" thickBot="1">
      <c r="A27" s="2">
        <f>'Исходные данные'!B26</f>
        <v>0</v>
      </c>
      <c r="B27" s="15">
        <f>'Исходные данные'!C26</f>
        <v>0</v>
      </c>
      <c r="C27" s="16">
        <f>'Исходные данные'!D26</f>
        <v>0</v>
      </c>
      <c r="D27" s="40" t="str">
        <f>IF('Исходные данные'!C26='Исходные данные'!$M$1,'Исходные данные'!F26,IF('Исходные данные'!C26='Исходные данные'!$M$2,'Исходные данные'!F26,"---"))</f>
        <v>---</v>
      </c>
      <c r="E27" s="40" t="str">
        <f>IF('Исходные данные'!S26=252,"---",IF('Исходные данные'!S26=232,"KCKP",IF('Исходные данные'!S26=212,"KCKP-N","--")))</f>
        <v>--</v>
      </c>
      <c r="F27" s="85" t="str">
        <f>IF('Исходные данные'!M26=2,'Исходные данные'!G26,IF('Исходные данные'!M26=4,'Исходные данные'!G26,'Исходные данные'!I26))</f>
        <v>---</v>
      </c>
      <c r="G27" s="40">
        <f>IF('Исходные данные'!M26=1,'Исходные данные'!H26*2,IF('Исходные данные'!M26=3,'Исходные данные'!H26*2,'Исходные данные'!H26))</f>
        <v>0</v>
      </c>
      <c r="H27" s="40" t="s">
        <v>9</v>
      </c>
      <c r="I27" s="40" t="str">
        <f>IF('Исходные данные'!M26=1,G27,"---")</f>
        <v>---</v>
      </c>
      <c r="J27" s="383" t="str">
        <f>IF('Исходные данные'!L26=1,"ОЦ",IF('Исходные данные'!L26=2,"нерж",IF('Исходные данные'!L26=3,"ОЦ",IF('Исходные данные'!L26=4,"краш","---"))))</f>
        <v>---</v>
      </c>
      <c r="K27" s="68"/>
      <c r="L27" s="1"/>
      <c r="M27" s="1"/>
      <c r="N27" s="1"/>
      <c r="O27" s="42" t="str">
        <f>IF('Исходные данные'!M26=1,'Исходные данные'!O26,IF('Исходные данные'!M26=2,'Исходные данные'!Q26,IF('Исходные данные'!M26=3,'Исходные данные'!P26,IF('Исходные данные'!M26=4,'Исходные данные'!Q26,"---"))))</f>
        <v>---</v>
      </c>
      <c r="P27">
        <f>IF('Исходные данные'!M26=1,IF(AND(160&lt;=D27,D27&lt;310),1,IF(AND(310&lt;=D27,D27&lt;460),2,IF(AND(460&lt;=D27,D27&lt;610),3,IF(AND(610&lt;=D27,D27&lt;760),4,IF(AND(760&lt;=D27,D27&lt;910),5,IF(AND(910&lt;=D27,D27&lt;1060),6,IF(AND(1060&lt;=D27,D27&lt;1210),7,IF(AND(1210&lt;=D27,D27&lt;1360),8,IF(AND(1360&lt;=D27,D27&lt;1510),9,IF(AND(1510&lt;=D27,D27&lt;1660),10,IF(AND(1660&lt;=D27,D27&lt;1810),11,IF(AND(1810&lt;=D27,D27&lt;1960),12,IF(AND(1960&lt;=D27,D27&lt;2110),13,IF(AND(2110&lt;=D27,D27&lt;2260),14,IF(AND(2260&lt;=D27,D27&lt;2410),15,IF(AND(2410&lt;=D27,D27&lt;2500),16,"---")))))))))))))))),IF('Исходные данные'!M26=3,IF(AND(160&lt;=D27,D27&lt;310),1,IF(AND(310&lt;=D27,D27&lt;460),2,IF(AND(460&lt;=D27,D27&lt;610),3,IF(AND(610&lt;=D27,D27&lt;760),4,IF(AND(760&lt;=D27,D27&lt;910),5,IF(AND(910&lt;=D27,D27&lt;1060),6,IF(AND(1060&lt;=D27,D27&lt;1210),7,IF(AND(1210&lt;=D27,D27&lt;1360),8,IF(AND(1360&lt;=D27,D27&lt;1510),9,IF(AND(1510&lt;=D27,D27&lt;1660),10,IF(AND(1660&lt;=D27,D27&lt;1810),11,IF(AND(1810&lt;=D27,D27&lt;1960),12,IF(AND(1960&lt;=D27,D27&lt;2110),13,IF(AND(2110&lt;=D27,D27&lt;2260),14,IF(AND(2260&lt;=D27,D27&lt;2410),15,IF(AND(2410&lt;=D27,D27&lt;2500),16,"---")))))))))))))))),0))</f>
        <v>0</v>
      </c>
      <c r="Q27" s="382">
        <f>IF('Исходные данные'!M26=2,IF(AND(175&lt;=D27,D27&lt;325),1,IF(AND(325&lt;=D27,D27&lt;475),2,IF(AND(475&lt;=D27,D27&lt;625),3,IF(AND(625&lt;=D27,D27&lt;775),4,IF(AND(775&lt;=D27,D27&lt;925),5,IF(AND(925&lt;=D27,D27&lt;1075),6,IF(AND(1075&lt;=D27,D27&lt;1225),7,IF(AND(1225&lt;=D27,D27&lt;1375),8,IF(AND(1375&lt;=D27,D27&lt;1525),9,IF(AND(1525&lt;=D27,D27&lt;1675),10,IF(AND(1675&lt;=D27,D27&lt;1825),11,IF(AND(1825&lt;=D27,D27&lt;1975),12,IF(AND(1975&lt;=D27,D27&lt;2125),13,IF(AND(2125&lt;=D27,D27&lt;2275),14,IF(AND(2275&lt;=D27,D27&lt;2400),15,IF(AND(2400&lt;=D27,D27&lt;2500),16,"---")))))))))))))))),IF('Исходные данные'!M26=4,IF(AND(175&lt;=D27,D27&lt;325),1,IF(AND(325&lt;=D27,D27&lt;475),2,IF(AND(475&lt;=D27,D27&lt;625),3,IF(AND(625&lt;=D27,D27&lt;775),4,IF(AND(775&lt;=D27,D27&lt;925),5,IF(AND(925&lt;=D27,D27&lt;1075),6,IF(AND(1075&lt;=D27,D27&lt;1225),7,IF(AND(1225&lt;=D27,D27&lt;1375),8,IF(AND(1375&lt;=D27,D27&lt;1525),9,IF(AND(1525&lt;=D27,D27&lt;1675),10,IF(AND(1675&lt;=D27,D27&lt;1825),11,IF(AND(1825&lt;=D27,D27&lt;1975),12,IF(AND(1975&lt;=D27,D27&lt;2125),13,IF(AND(2125&lt;=D27,D27&lt;2275),14,IF(AND(2275&lt;=D27,D27&lt;2400),15,IF(AND(2400&lt;=D27,D27&lt;2500),16,"---")))))))))))))))),0))</f>
        <v>0</v>
      </c>
      <c r="R27" s="52">
        <f>IF(OR('Исходные данные'!M26=1,'Исходные данные'!M26=3),P27,Q27)</f>
        <v>0</v>
      </c>
      <c r="S27">
        <f>P27*'Исходные данные'!H26</f>
        <v>0</v>
      </c>
      <c r="T27">
        <f>IF('Исходные данные'!M26=1,IF(D27&lt;=180,2.54,IF(D27&lt;=300,3.34,IF(D27&lt;=495,2.95,IF(D27&lt;=815,3.15,IF(D27&lt;=1115,3.39,IF(D27&lt;=2400,4.96,"---")))))),IF('Исходные данные'!M26=3,IF(D27&lt;=180,2.54,IF(D27&lt;=300,3.34,IF(D27&lt;=495,2.95,IF(D27&lt;=815,3.15,IF(D27&lt;=1115,3.39,IF(D27&lt;=2400,4.96,0)))))),0))*'Исходные данные'!H26</f>
        <v>0</v>
      </c>
      <c r="U27">
        <f>IF('Исходные данные'!M26=1,IF(D27&lt;=180,2.09,IF(D27&lt;=875,2.14,IF(D27&lt;=1155,2.41,IF(D27&lt;=1215,2.87,IF(D27&lt;=1385,3.05,IF(D27&lt;=1700,3.13,IF(D27&lt;=2400,4.37,0))))))),0)*'Исходные данные'!H26</f>
        <v>0</v>
      </c>
      <c r="V27">
        <f>IFERROR(INDEX(reg_table!B:B,MATCH(CONCATENATE(D27,"X",F27),reg_table!A:A,0)) *'Исходные данные'!H26, 0)</f>
        <v>0</v>
      </c>
      <c r="W27">
        <f>ROUNDDOWN((('Исходные данные'!F26-160)/140),0)</f>
        <v>-1</v>
      </c>
      <c r="X27">
        <f>('Исходные данные'!F26-160)/140</f>
        <v>-1.1428571428571428</v>
      </c>
      <c r="Y27" s="357">
        <f>IF(X27-W27=0,ROUNDDOWN(('Исходные данные'!F26-160)/140,0),ROUNDDOWN(('Исходные данные'!F26-160)/140,0)+1)</f>
        <v>0</v>
      </c>
      <c r="Z27">
        <f>('Исходные данные'!F26-170)/150</f>
        <v>-1.1333333333333333</v>
      </c>
      <c r="AA27">
        <f>ROUNDDOWN((('Исходные данные'!F26-170)/150),0)</f>
        <v>-1</v>
      </c>
      <c r="AB27" s="357">
        <f>IF(Z27-AA27=0,ROUNDDOWN(('Исходные данные'!F26-170)/150,0),ROUNDDOWN(('Исходные данные'!F26-170)/150,0)+1)</f>
        <v>0</v>
      </c>
    </row>
    <row r="28" spans="1:28">
      <c r="T28">
        <f>SUM(T7:T27)</f>
        <v>0</v>
      </c>
      <c r="U28">
        <f>SUM(U7:U27)</f>
        <v>0</v>
      </c>
      <c r="V28">
        <f>SUM(V7:V27)</f>
        <v>0</v>
      </c>
    </row>
    <row r="29" spans="1:28">
      <c r="B29" t="s">
        <v>41</v>
      </c>
      <c r="D29" s="34" t="s">
        <v>57</v>
      </c>
      <c r="E29" s="427" t="s">
        <v>58</v>
      </c>
      <c r="F29" s="427"/>
      <c r="G29" s="427"/>
      <c r="I29">
        <f>(T28+U28+V28)/60</f>
        <v>0</v>
      </c>
      <c r="J29" t="s">
        <v>61</v>
      </c>
    </row>
    <row r="30" spans="1:28">
      <c r="D30" s="34"/>
      <c r="E30" s="32"/>
      <c r="F30" s="32"/>
      <c r="G30" s="32"/>
    </row>
    <row r="31" spans="1:28">
      <c r="D31" s="34" t="s">
        <v>59</v>
      </c>
      <c r="E31" s="427" t="s">
        <v>58</v>
      </c>
      <c r="F31" s="427"/>
      <c r="G31" s="427"/>
      <c r="I31">
        <f>'Исходные данные'!AE30</f>
        <v>0</v>
      </c>
      <c r="J31" t="s">
        <v>61</v>
      </c>
    </row>
    <row r="33" spans="1:11" ht="18.75">
      <c r="B33" s="21" t="s">
        <v>34</v>
      </c>
      <c r="C33" s="21"/>
      <c r="D33" s="22"/>
      <c r="E33" s="22">
        <f>'Исходные данные'!F29</f>
        <v>0</v>
      </c>
      <c r="F33" s="100"/>
      <c r="G33" s="100"/>
      <c r="I33" t="s">
        <v>208</v>
      </c>
    </row>
    <row r="35" spans="1:11">
      <c r="B35" t="s">
        <v>77</v>
      </c>
      <c r="G35" t="s">
        <v>76</v>
      </c>
    </row>
    <row r="36" spans="1:1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8"/>
    </row>
    <row r="37" spans="1:11" ht="21">
      <c r="A37" t="s">
        <v>207</v>
      </c>
      <c r="B37" s="48"/>
      <c r="C37" s="48"/>
      <c r="D37" s="48"/>
      <c r="E37" s="48"/>
      <c r="F37" s="48"/>
      <c r="G37" s="47"/>
      <c r="H37" s="49" t="s">
        <v>205</v>
      </c>
      <c r="I37" s="49"/>
      <c r="J37" s="49"/>
      <c r="K37" s="49"/>
    </row>
    <row r="38" spans="1:11" ht="18.75">
      <c r="B38" s="49" t="s">
        <v>84</v>
      </c>
      <c r="C38" s="49"/>
      <c r="D38" s="49"/>
      <c r="E38" s="49"/>
      <c r="F38" s="47"/>
      <c r="G38" s="49">
        <f>'Исходные данные'!F4</f>
        <v>0</v>
      </c>
      <c r="H38" s="47"/>
      <c r="I38" s="47"/>
      <c r="J38" t="s">
        <v>223</v>
      </c>
    </row>
    <row r="39" spans="1:11">
      <c r="B39" s="431"/>
      <c r="C39" s="431"/>
      <c r="D39" s="431"/>
      <c r="E39" s="431"/>
      <c r="F39" s="47"/>
      <c r="G39" s="47"/>
      <c r="H39" s="47"/>
      <c r="I39" s="47"/>
    </row>
    <row r="40" spans="1:11">
      <c r="B40" s="47" t="s">
        <v>85</v>
      </c>
      <c r="C40" s="47"/>
      <c r="D40" s="47"/>
      <c r="E40" s="47"/>
      <c r="F40" s="47"/>
      <c r="G40" s="47"/>
      <c r="H40" s="47"/>
      <c r="I40" s="47"/>
    </row>
    <row r="41" spans="1:11">
      <c r="B41" s="47"/>
      <c r="C41" s="47"/>
      <c r="D41" s="47"/>
      <c r="E41" s="47"/>
      <c r="F41" s="47"/>
      <c r="G41" s="47"/>
      <c r="H41" s="47"/>
      <c r="I41" s="47"/>
    </row>
    <row r="42" spans="1:11">
      <c r="B42" s="47" t="s">
        <v>78</v>
      </c>
      <c r="C42" s="47" t="s">
        <v>86</v>
      </c>
      <c r="D42" s="47"/>
      <c r="E42" s="47"/>
      <c r="F42" s="47"/>
      <c r="G42" s="47" t="s">
        <v>213</v>
      </c>
      <c r="H42" s="47"/>
      <c r="I42" s="47"/>
    </row>
    <row r="43" spans="1:11">
      <c r="B43" s="47"/>
      <c r="C43" s="47"/>
      <c r="D43" s="47"/>
      <c r="E43" s="47"/>
      <c r="F43" s="47"/>
      <c r="G43" s="47"/>
      <c r="H43" s="47"/>
      <c r="I43" s="47"/>
    </row>
    <row r="44" spans="1:11">
      <c r="B44" s="47" t="s">
        <v>87</v>
      </c>
      <c r="C44" s="47"/>
      <c r="D44" s="47"/>
      <c r="E44" s="47"/>
      <c r="F44" s="47"/>
      <c r="G44" s="47" t="s">
        <v>213</v>
      </c>
      <c r="H44" s="47"/>
      <c r="I44" s="47"/>
    </row>
    <row r="45" spans="1:11">
      <c r="B45" s="47"/>
      <c r="C45" s="47"/>
      <c r="D45" s="47"/>
      <c r="E45" s="47"/>
      <c r="F45" s="47"/>
      <c r="G45" s="47"/>
      <c r="H45" s="47"/>
      <c r="I45" s="47"/>
    </row>
    <row r="46" spans="1:11">
      <c r="B46" s="47" t="s">
        <v>88</v>
      </c>
      <c r="C46" s="47"/>
      <c r="D46" s="47"/>
      <c r="E46" s="47"/>
      <c r="F46" s="47"/>
      <c r="G46" s="47" t="s">
        <v>213</v>
      </c>
      <c r="H46" s="47"/>
      <c r="I46" s="47"/>
    </row>
    <row r="47" spans="1:11">
      <c r="B47" s="47"/>
      <c r="C47" s="47"/>
      <c r="D47" s="47"/>
      <c r="E47" s="47"/>
      <c r="F47" s="47"/>
      <c r="G47" s="47"/>
      <c r="H47" s="47"/>
      <c r="I47" s="47"/>
    </row>
  </sheetData>
  <mergeCells count="20">
    <mergeCell ref="W5:AB5"/>
    <mergeCell ref="M5:M6"/>
    <mergeCell ref="N5:N6"/>
    <mergeCell ref="K5:K6"/>
    <mergeCell ref="L5:L6"/>
    <mergeCell ref="B39:E39"/>
    <mergeCell ref="A3:J3"/>
    <mergeCell ref="E29:G29"/>
    <mergeCell ref="E31:G31"/>
    <mergeCell ref="A2:J2"/>
    <mergeCell ref="F5:F6"/>
    <mergeCell ref="J5:J6"/>
    <mergeCell ref="H5:H6"/>
    <mergeCell ref="I5:I6"/>
    <mergeCell ref="A5:A6"/>
    <mergeCell ref="D5:D6"/>
    <mergeCell ref="G5:G6"/>
    <mergeCell ref="B5:C6"/>
    <mergeCell ref="E5:E6"/>
    <mergeCell ref="A4:C4"/>
  </mergeCells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48"/>
  <sheetViews>
    <sheetView workbookViewId="0">
      <selection activeCell="A3" sqref="A3:F3"/>
    </sheetView>
  </sheetViews>
  <sheetFormatPr defaultRowHeight="15"/>
  <cols>
    <col min="1" max="1" width="10.28515625" customWidth="1"/>
    <col min="2" max="2" width="11.7109375" customWidth="1"/>
    <col min="3" max="3" width="5" customWidth="1"/>
    <col min="4" max="4" width="16.140625" customWidth="1"/>
    <col min="5" max="5" width="19.28515625" customWidth="1"/>
    <col min="6" max="6" width="8.28515625" customWidth="1"/>
    <col min="7" max="7" width="11.7109375" customWidth="1"/>
    <col min="8" max="8" width="13.28515625" customWidth="1"/>
    <col min="10" max="10" width="11" customWidth="1"/>
  </cols>
  <sheetData>
    <row r="2" spans="1:11" ht="18.75">
      <c r="A2" s="434" t="s">
        <v>36</v>
      </c>
      <c r="B2" s="434"/>
      <c r="C2" s="434"/>
      <c r="D2" s="434"/>
      <c r="E2" s="434"/>
      <c r="F2" s="434"/>
      <c r="G2" s="434"/>
      <c r="H2" s="434"/>
      <c r="I2" s="434"/>
      <c r="J2" s="434"/>
    </row>
    <row r="3" spans="1:11" ht="24" customHeight="1">
      <c r="A3" s="449" t="s">
        <v>267</v>
      </c>
      <c r="B3" s="449"/>
      <c r="C3" s="449"/>
      <c r="D3" s="449"/>
      <c r="E3" s="449"/>
      <c r="F3" s="449"/>
      <c r="J3" t="s">
        <v>222</v>
      </c>
    </row>
    <row r="4" spans="1:11" ht="21">
      <c r="A4" s="454" t="s">
        <v>69</v>
      </c>
      <c r="B4" s="455"/>
      <c r="C4" s="37"/>
      <c r="D4" s="36">
        <f>'Исходные данные'!F4</f>
        <v>0</v>
      </c>
    </row>
    <row r="5" spans="1:11" ht="53.25" customHeight="1">
      <c r="A5" s="450" t="s">
        <v>10</v>
      </c>
      <c r="B5" s="451" t="s">
        <v>0</v>
      </c>
      <c r="C5" s="453" t="s">
        <v>15</v>
      </c>
      <c r="D5" s="453"/>
      <c r="E5" s="453"/>
      <c r="F5" s="453"/>
      <c r="G5" s="4" t="s">
        <v>38</v>
      </c>
      <c r="H5" s="435" t="s">
        <v>218</v>
      </c>
      <c r="I5" s="446" t="s">
        <v>217</v>
      </c>
      <c r="J5" s="435" t="s">
        <v>219</v>
      </c>
      <c r="K5" s="446" t="s">
        <v>217</v>
      </c>
    </row>
    <row r="6" spans="1:11" ht="30" customHeight="1">
      <c r="A6" s="450"/>
      <c r="B6" s="452"/>
      <c r="C6" s="439" t="s">
        <v>11</v>
      </c>
      <c r="D6" s="440"/>
      <c r="E6" s="11" t="s">
        <v>21</v>
      </c>
      <c r="F6" s="23" t="s">
        <v>6</v>
      </c>
      <c r="G6" s="24"/>
      <c r="H6" s="436"/>
      <c r="I6" s="447"/>
      <c r="J6" s="436"/>
      <c r="K6" s="447"/>
    </row>
    <row r="7" spans="1:11" ht="21.75" customHeight="1">
      <c r="A7" s="2">
        <f>'Исходные данные'!B6</f>
        <v>0</v>
      </c>
      <c r="B7" s="2">
        <f>'Исходные данные'!C6</f>
        <v>0</v>
      </c>
      <c r="C7" s="4" t="s">
        <v>7</v>
      </c>
      <c r="D7" s="7" t="str">
        <f>IF('Исходные данные'!M6=1,'Исходные данные'!G6+3,IF('Исходные данные'!M6=3,'Исходные данные'!G6+3,"---"))</f>
        <v>---</v>
      </c>
      <c r="E7" s="7" t="str">
        <f>'Исходные данные'!S6</f>
        <v>---</v>
      </c>
      <c r="F7" s="14">
        <f>'Исходные данные'!H6*2</f>
        <v>0</v>
      </c>
      <c r="G7" s="2" t="str">
        <f>IF('Исходные данные'!L6=1,"ОЦ",IF('Исходные данные'!L6=2,"нерж",IF('Исходные данные'!L6=3,"ОЦ",IF('Исходные данные'!L6=4,"краш","---"))))</f>
        <v>---</v>
      </c>
      <c r="H7" s="70"/>
      <c r="I7" s="1"/>
      <c r="J7" s="1"/>
      <c r="K7" s="1"/>
    </row>
    <row r="8" spans="1:11">
      <c r="A8" s="40">
        <f>'Исходные данные'!B7</f>
        <v>0</v>
      </c>
      <c r="B8" s="40">
        <f>'Исходные данные'!C7</f>
        <v>0</v>
      </c>
      <c r="C8" s="4" t="s">
        <v>7</v>
      </c>
      <c r="D8" s="7" t="str">
        <f>IF('Исходные данные'!M7=1,'Исходные данные'!G7+3,IF('Исходные данные'!M7=3,'Исходные данные'!G7+3,"---"))</f>
        <v>---</v>
      </c>
      <c r="E8" s="7" t="str">
        <f>'Исходные данные'!S7</f>
        <v>---</v>
      </c>
      <c r="F8" s="14">
        <f>'Исходные данные'!H7*2</f>
        <v>0</v>
      </c>
      <c r="G8" s="38" t="str">
        <f>IF('Исходные данные'!L7=1,"ОЦ",IF('Исходные данные'!L7=2,"нерж",IF('Исходные данные'!L7=3,"ОЦ",IF('Исходные данные'!L7=4,"краш","---"))))</f>
        <v>---</v>
      </c>
      <c r="H8" s="70"/>
      <c r="I8" s="1"/>
      <c r="J8" s="1"/>
      <c r="K8" s="1"/>
    </row>
    <row r="9" spans="1:11">
      <c r="A9" s="40">
        <f>'Исходные данные'!B8</f>
        <v>0</v>
      </c>
      <c r="B9" s="40">
        <f>'Исходные данные'!C8</f>
        <v>0</v>
      </c>
      <c r="C9" s="4" t="s">
        <v>7</v>
      </c>
      <c r="D9" s="7" t="str">
        <f>IF('Исходные данные'!M8=1,'Исходные данные'!G8+3,IF('Исходные данные'!M8=3,'Исходные данные'!G8+3,"---"))</f>
        <v>---</v>
      </c>
      <c r="E9" s="7" t="str">
        <f>'Исходные данные'!S8</f>
        <v>---</v>
      </c>
      <c r="F9" s="14">
        <f>'Исходные данные'!H8*2</f>
        <v>0</v>
      </c>
      <c r="G9" s="38" t="str">
        <f>IF('Исходные данные'!L8=1,"ОЦ",IF('Исходные данные'!L8=2,"нерж",IF('Исходные данные'!L8=3,"ОЦ",IF('Исходные данные'!L8=4,"краш","---"))))</f>
        <v>---</v>
      </c>
      <c r="H9" s="70"/>
      <c r="I9" s="1"/>
      <c r="J9" s="1"/>
      <c r="K9" s="1"/>
    </row>
    <row r="10" spans="1:11">
      <c r="A10" s="40">
        <f>'Исходные данные'!B9</f>
        <v>0</v>
      </c>
      <c r="B10" s="40">
        <f>'Исходные данные'!C9</f>
        <v>0</v>
      </c>
      <c r="C10" s="4" t="s">
        <v>7</v>
      </c>
      <c r="D10" s="7" t="str">
        <f>IF('Исходные данные'!M9=1,'Исходные данные'!G9+3,IF('Исходные данные'!M9=3,'Исходные данные'!G9+3,"---"))</f>
        <v>---</v>
      </c>
      <c r="E10" s="7" t="str">
        <f>'Исходные данные'!S9</f>
        <v>---</v>
      </c>
      <c r="F10" s="14">
        <f>'Исходные данные'!H9*2</f>
        <v>0</v>
      </c>
      <c r="G10" s="38" t="str">
        <f>IF('Исходные данные'!L9=1,"ОЦ",IF('Исходные данные'!L9=2,"нерж",IF('Исходные данные'!L9=3,"ОЦ",IF('Исходные данные'!L9=4,"краш","---"))))</f>
        <v>---</v>
      </c>
      <c r="H10" s="70"/>
      <c r="I10" s="1"/>
      <c r="J10" s="1"/>
      <c r="K10" s="1"/>
    </row>
    <row r="11" spans="1:11">
      <c r="A11" s="40">
        <f>'Исходные данные'!B10</f>
        <v>0</v>
      </c>
      <c r="B11" s="40">
        <f>'Исходные данные'!C10</f>
        <v>0</v>
      </c>
      <c r="C11" s="4"/>
      <c r="D11" s="7" t="str">
        <f>IF('Исходные данные'!M10=1,'Исходные данные'!G10+3,IF('Исходные данные'!M10=3,'Исходные данные'!G10+3,"---"))</f>
        <v>---</v>
      </c>
      <c r="E11" s="7" t="str">
        <f>'Исходные данные'!S10</f>
        <v>---</v>
      </c>
      <c r="F11" s="14">
        <f>'Исходные данные'!H10*2</f>
        <v>0</v>
      </c>
      <c r="G11" s="38" t="str">
        <f>IF('Исходные данные'!L10=1,"ОЦ",IF('Исходные данные'!L10=2,"нерж",IF('Исходные данные'!L10=3,"ОЦ",IF('Исходные данные'!L10=4,"краш","---"))))</f>
        <v>---</v>
      </c>
      <c r="H11" s="70"/>
      <c r="I11" s="1"/>
      <c r="J11" s="1"/>
      <c r="K11" s="1"/>
    </row>
    <row r="12" spans="1:11">
      <c r="A12" s="40">
        <f>'Исходные данные'!B11</f>
        <v>0</v>
      </c>
      <c r="B12" s="40">
        <f>'Исходные данные'!C11</f>
        <v>0</v>
      </c>
      <c r="C12" s="4"/>
      <c r="D12" s="7" t="str">
        <f>IF('Исходные данные'!M11=1,'Исходные данные'!G11+3,IF('Исходные данные'!M11=3,'Исходные данные'!G11+3,"---"))</f>
        <v>---</v>
      </c>
      <c r="E12" s="7" t="str">
        <f>'Исходные данные'!S11</f>
        <v>---</v>
      </c>
      <c r="F12" s="14">
        <f>'Исходные данные'!H11*2</f>
        <v>0</v>
      </c>
      <c r="G12" s="38" t="str">
        <f>IF('Исходные данные'!L11=1,"ОЦ",IF('Исходные данные'!L11=2,"нерж",IF('Исходные данные'!L11=3,"ОЦ",IF('Исходные данные'!L11=4,"краш","---"))))</f>
        <v>---</v>
      </c>
      <c r="H12" s="70"/>
      <c r="I12" s="1"/>
      <c r="J12" s="1"/>
      <c r="K12" s="1"/>
    </row>
    <row r="13" spans="1:11">
      <c r="A13" s="40">
        <f>'Исходные данные'!B12</f>
        <v>0</v>
      </c>
      <c r="B13" s="40">
        <f>'Исходные данные'!C12</f>
        <v>0</v>
      </c>
      <c r="C13" s="4"/>
      <c r="D13" s="7" t="str">
        <f>IF('Исходные данные'!M12=1,'Исходные данные'!G12+3,IF('Исходные данные'!M12=3,'Исходные данные'!G12+3,"---"))</f>
        <v>---</v>
      </c>
      <c r="E13" s="7" t="str">
        <f>'Исходные данные'!S12</f>
        <v>---</v>
      </c>
      <c r="F13" s="14">
        <f>'Исходные данные'!H12*2</f>
        <v>0</v>
      </c>
      <c r="G13" s="38" t="str">
        <f>IF('Исходные данные'!L12=1,"ОЦ",IF('Исходные данные'!L12=2,"нерж",IF('Исходные данные'!L12=3,"ОЦ",IF('Исходные данные'!L12=4,"краш","---"))))</f>
        <v>---</v>
      </c>
      <c r="H13" s="70"/>
      <c r="I13" s="1"/>
      <c r="J13" s="1"/>
      <c r="K13" s="1"/>
    </row>
    <row r="14" spans="1:11">
      <c r="A14" s="40">
        <f>'Исходные данные'!B13</f>
        <v>0</v>
      </c>
      <c r="B14" s="40">
        <f>'Исходные данные'!C13</f>
        <v>0</v>
      </c>
      <c r="C14" s="4"/>
      <c r="D14" s="7" t="str">
        <f>IF('Исходные данные'!M13=1,'Исходные данные'!G13+3,IF('Исходные данные'!M13=3,'Исходные данные'!G13+3,"---"))</f>
        <v>---</v>
      </c>
      <c r="E14" s="7" t="str">
        <f>'Исходные данные'!S13</f>
        <v>---</v>
      </c>
      <c r="F14" s="14">
        <f>'Исходные данные'!H13*2</f>
        <v>0</v>
      </c>
      <c r="G14" s="38" t="str">
        <f>IF('Исходные данные'!L13=1,"ОЦ",IF('Исходные данные'!L13=2,"нерж",IF('Исходные данные'!L13=3,"ОЦ",IF('Исходные данные'!L13=4,"краш","---"))))</f>
        <v>---</v>
      </c>
      <c r="H14" s="70"/>
      <c r="I14" s="1"/>
      <c r="J14" s="1"/>
      <c r="K14" s="1"/>
    </row>
    <row r="15" spans="1:11">
      <c r="A15" s="40">
        <f>'Исходные данные'!B14</f>
        <v>0</v>
      </c>
      <c r="B15" s="40">
        <f>'Исходные данные'!C14</f>
        <v>0</v>
      </c>
      <c r="C15" s="4"/>
      <c r="D15" s="7" t="str">
        <f>IF('Исходные данные'!M14=1,'Исходные данные'!G14+3,IF('Исходные данные'!M14=3,'Исходные данные'!G14+3,"---"))</f>
        <v>---</v>
      </c>
      <c r="E15" s="7" t="str">
        <f>'Исходные данные'!S14</f>
        <v>---</v>
      </c>
      <c r="F15" s="14">
        <f>'Исходные данные'!H14*2</f>
        <v>0</v>
      </c>
      <c r="G15" s="38" t="str">
        <f>IF('Исходные данные'!L14=1,"ОЦ",IF('Исходные данные'!L14=2,"нерж",IF('Исходные данные'!L14=3,"ОЦ",IF('Исходные данные'!L14=4,"краш","---"))))</f>
        <v>---</v>
      </c>
      <c r="H15" s="70"/>
      <c r="I15" s="1"/>
      <c r="J15" s="1"/>
      <c r="K15" s="1"/>
    </row>
    <row r="16" spans="1:11">
      <c r="A16" s="40">
        <f>'Исходные данные'!B15</f>
        <v>0</v>
      </c>
      <c r="B16" s="40">
        <f>'Исходные данные'!C15</f>
        <v>0</v>
      </c>
      <c r="C16" s="4"/>
      <c r="D16" s="7" t="str">
        <f>IF('Исходные данные'!M15=1,'Исходные данные'!G15+3,IF('Исходные данные'!M15=3,'Исходные данные'!G15+3,"---"))</f>
        <v>---</v>
      </c>
      <c r="E16" s="7" t="str">
        <f>'Исходные данные'!S15</f>
        <v>---</v>
      </c>
      <c r="F16" s="14">
        <f>'Исходные данные'!H15*2</f>
        <v>0</v>
      </c>
      <c r="G16" s="38" t="str">
        <f>IF('Исходные данные'!L15=1,"ОЦ",IF('Исходные данные'!L15=2,"нерж",IF('Исходные данные'!L15=3,"ОЦ",IF('Исходные данные'!L15=4,"краш","---"))))</f>
        <v>---</v>
      </c>
      <c r="H16" s="70"/>
      <c r="I16" s="1"/>
      <c r="J16" s="1"/>
      <c r="K16" s="1"/>
    </row>
    <row r="17" spans="1:11">
      <c r="A17" s="40">
        <f>'Исходные данные'!B16</f>
        <v>0</v>
      </c>
      <c r="B17" s="40">
        <f>'Исходные данные'!C16</f>
        <v>0</v>
      </c>
      <c r="C17" s="4"/>
      <c r="D17" s="7" t="str">
        <f>IF('Исходные данные'!M16=1,'Исходные данные'!G16+3,IF('Исходные данные'!M16=3,'Исходные данные'!G16+3,"---"))</f>
        <v>---</v>
      </c>
      <c r="E17" s="7" t="str">
        <f>'Исходные данные'!S16</f>
        <v>---</v>
      </c>
      <c r="F17" s="14">
        <f>'Исходные данные'!H16*2</f>
        <v>0</v>
      </c>
      <c r="G17" s="38" t="str">
        <f>IF('Исходные данные'!L16=1,"ОЦ",IF('Исходные данные'!L16=2,"нерж",IF('Исходные данные'!L16=3,"ОЦ",IF('Исходные данные'!L16=4,"краш","---"))))</f>
        <v>---</v>
      </c>
      <c r="H17" s="70"/>
      <c r="I17" s="1"/>
      <c r="J17" s="1"/>
      <c r="K17" s="1"/>
    </row>
    <row r="18" spans="1:11">
      <c r="A18" s="40">
        <f>'Исходные данные'!B17</f>
        <v>0</v>
      </c>
      <c r="B18" s="40">
        <f>'Исходные данные'!C17</f>
        <v>0</v>
      </c>
      <c r="C18" s="4"/>
      <c r="D18" s="7" t="str">
        <f>IF('Исходные данные'!M17=1,'Исходные данные'!G17+3,IF('Исходные данные'!M17=3,'Исходные данные'!G17+3,"---"))</f>
        <v>---</v>
      </c>
      <c r="E18" s="7" t="str">
        <f>'Исходные данные'!S17</f>
        <v>---</v>
      </c>
      <c r="F18" s="14">
        <f>'Исходные данные'!H17*2</f>
        <v>0</v>
      </c>
      <c r="G18" s="38" t="str">
        <f>IF('Исходные данные'!L17=1,"ОЦ",IF('Исходные данные'!L17=2,"нерж",IF('Исходные данные'!L17=3,"ОЦ",IF('Исходные данные'!L17=4,"краш","---"))))</f>
        <v>---</v>
      </c>
      <c r="H18" s="70"/>
      <c r="I18" s="1"/>
      <c r="J18" s="1"/>
      <c r="K18" s="1"/>
    </row>
    <row r="19" spans="1:11">
      <c r="A19" s="40">
        <f>'Исходные данные'!B18</f>
        <v>0</v>
      </c>
      <c r="B19" s="40">
        <f>'Исходные данные'!C18</f>
        <v>0</v>
      </c>
      <c r="C19" s="4"/>
      <c r="D19" s="7" t="str">
        <f>IF('Исходные данные'!M18=1,'Исходные данные'!G18+3,IF('Исходные данные'!M18=3,'Исходные данные'!G18+3,"---"))</f>
        <v>---</v>
      </c>
      <c r="E19" s="7" t="str">
        <f>'Исходные данные'!S18</f>
        <v>---</v>
      </c>
      <c r="F19" s="14">
        <f>'Исходные данные'!H18*2</f>
        <v>0</v>
      </c>
      <c r="G19" s="38" t="str">
        <f>IF('Исходные данные'!L18=1,"ОЦ",IF('Исходные данные'!L18=2,"нерж",IF('Исходные данные'!L18=3,"ОЦ",IF('Исходные данные'!L18=4,"краш","---"))))</f>
        <v>---</v>
      </c>
      <c r="H19" s="70"/>
      <c r="I19" s="1"/>
      <c r="J19" s="1"/>
      <c r="K19" s="1"/>
    </row>
    <row r="20" spans="1:11">
      <c r="A20" s="40">
        <f>'Исходные данные'!B19</f>
        <v>0</v>
      </c>
      <c r="B20" s="40">
        <f>'Исходные данные'!C19</f>
        <v>0</v>
      </c>
      <c r="C20" s="4"/>
      <c r="D20" s="7" t="str">
        <f>IF('Исходные данные'!M19=1,'Исходные данные'!G19+3,IF('Исходные данные'!M19=3,'Исходные данные'!G19+3,"---"))</f>
        <v>---</v>
      </c>
      <c r="E20" s="7" t="str">
        <f>'Исходные данные'!S19</f>
        <v>---</v>
      </c>
      <c r="F20" s="14">
        <f>'Исходные данные'!H19*2</f>
        <v>0</v>
      </c>
      <c r="G20" s="38" t="str">
        <f>IF('Исходные данные'!L19=1,"ОЦ",IF('Исходные данные'!L19=2,"нерж",IF('Исходные данные'!L19=3,"ОЦ",IF('Исходные данные'!L19=4,"краш","---"))))</f>
        <v>---</v>
      </c>
      <c r="H20" s="70"/>
      <c r="I20" s="1"/>
      <c r="J20" s="1"/>
      <c r="K20" s="1"/>
    </row>
    <row r="21" spans="1:11">
      <c r="A21" s="40">
        <f>'Исходные данные'!B20</f>
        <v>0</v>
      </c>
      <c r="B21" s="40">
        <f>'Исходные данные'!C20</f>
        <v>0</v>
      </c>
      <c r="C21" s="4"/>
      <c r="D21" s="7" t="str">
        <f>IF('Исходные данные'!M20=1,'Исходные данные'!G20+3,IF('Исходные данные'!M20=3,'Исходные данные'!G20+3,"---"))</f>
        <v>---</v>
      </c>
      <c r="E21" s="7" t="str">
        <f>'Исходные данные'!S20</f>
        <v>---</v>
      </c>
      <c r="F21" s="14">
        <f>'Исходные данные'!H20*2</f>
        <v>0</v>
      </c>
      <c r="G21" s="38" t="str">
        <f>IF('Исходные данные'!L20=1,"ОЦ",IF('Исходные данные'!L20=2,"нерж",IF('Исходные данные'!L20=3,"ОЦ",IF('Исходные данные'!L20=4,"краш","---"))))</f>
        <v>---</v>
      </c>
      <c r="H21" s="70"/>
      <c r="I21" s="1"/>
      <c r="J21" s="1"/>
      <c r="K21" s="1"/>
    </row>
    <row r="22" spans="1:11">
      <c r="A22" s="40">
        <f>'Исходные данные'!B21</f>
        <v>0</v>
      </c>
      <c r="B22" s="40">
        <f>'Исходные данные'!C21</f>
        <v>0</v>
      </c>
      <c r="C22" s="4"/>
      <c r="D22" s="7" t="str">
        <f>IF('Исходные данные'!M21=1,'Исходные данные'!G21+3,IF('Исходные данные'!M21=3,'Исходные данные'!G21+3,"---"))</f>
        <v>---</v>
      </c>
      <c r="E22" s="7" t="str">
        <f>'Исходные данные'!S21</f>
        <v>---</v>
      </c>
      <c r="F22" s="14">
        <f>'Исходные данные'!H21*2</f>
        <v>0</v>
      </c>
      <c r="G22" s="38" t="str">
        <f>IF('Исходные данные'!L21=1,"ОЦ",IF('Исходные данные'!L21=2,"нерж",IF('Исходные данные'!L21=3,"ОЦ",IF('Исходные данные'!L21=4,"краш","---"))))</f>
        <v>---</v>
      </c>
      <c r="H22" s="70"/>
      <c r="I22" s="1"/>
      <c r="J22" s="1"/>
      <c r="K22" s="1"/>
    </row>
    <row r="23" spans="1:11">
      <c r="A23" s="40">
        <f>'Исходные данные'!B22</f>
        <v>0</v>
      </c>
      <c r="B23" s="40">
        <f>'Исходные данные'!C22</f>
        <v>0</v>
      </c>
      <c r="C23" s="4"/>
      <c r="D23" s="7" t="str">
        <f>IF('Исходные данные'!M22=1,'Исходные данные'!G22+3,IF('Исходные данные'!M22=3,'Исходные данные'!G22+3,"---"))</f>
        <v>---</v>
      </c>
      <c r="E23" s="7" t="str">
        <f>'Исходные данные'!S22</f>
        <v>---</v>
      </c>
      <c r="F23" s="14">
        <f>'Исходные данные'!H22*2</f>
        <v>0</v>
      </c>
      <c r="G23" s="38" t="str">
        <f>IF('Исходные данные'!L22=1,"ОЦ",IF('Исходные данные'!L22=2,"нерж",IF('Исходные данные'!L22=3,"ОЦ",IF('Исходные данные'!L22=4,"краш","---"))))</f>
        <v>---</v>
      </c>
      <c r="H23" s="70"/>
      <c r="I23" s="1"/>
      <c r="J23" s="1"/>
      <c r="K23" s="1"/>
    </row>
    <row r="24" spans="1:11">
      <c r="A24" s="40">
        <f>'Исходные данные'!B23</f>
        <v>0</v>
      </c>
      <c r="B24" s="40">
        <f>'Исходные данные'!C23</f>
        <v>0</v>
      </c>
      <c r="C24" s="4"/>
      <c r="D24" s="7" t="str">
        <f>IF('Исходные данные'!M23=1,'Исходные данные'!G23+3,IF('Исходные данные'!M23=3,'Исходные данные'!G23+3,"---"))</f>
        <v>---</v>
      </c>
      <c r="E24" s="7" t="str">
        <f>'Исходные данные'!S23</f>
        <v>---</v>
      </c>
      <c r="F24" s="14">
        <f>'Исходные данные'!H23*2</f>
        <v>0</v>
      </c>
      <c r="G24" s="38" t="str">
        <f>IF('Исходные данные'!L23=1,"ОЦ",IF('Исходные данные'!L23=2,"нерж",IF('Исходные данные'!L23=3,"ОЦ",IF('Исходные данные'!L23=4,"краш","---"))))</f>
        <v>---</v>
      </c>
      <c r="H24" s="70"/>
      <c r="I24" s="1"/>
      <c r="J24" s="1"/>
      <c r="K24" s="1"/>
    </row>
    <row r="25" spans="1:11">
      <c r="A25" s="40">
        <f>'Исходные данные'!B24</f>
        <v>0</v>
      </c>
      <c r="B25" s="40">
        <f>'Исходные данные'!C24</f>
        <v>0</v>
      </c>
      <c r="C25" s="4"/>
      <c r="D25" s="7" t="str">
        <f>IF('Исходные данные'!M24=1,'Исходные данные'!G24+3,IF('Исходные данные'!M24=3,'Исходные данные'!G24+3,"---"))</f>
        <v>---</v>
      </c>
      <c r="E25" s="7" t="str">
        <f>'Исходные данные'!S24</f>
        <v>---</v>
      </c>
      <c r="F25" s="14">
        <f>'Исходные данные'!H24*2</f>
        <v>0</v>
      </c>
      <c r="G25" s="38" t="str">
        <f>IF('Исходные данные'!L24=1,"ОЦ",IF('Исходные данные'!L24=2,"нерж",IF('Исходные данные'!L24=3,"ОЦ",IF('Исходные данные'!L24=4,"краш","---"))))</f>
        <v>---</v>
      </c>
      <c r="H25" s="70"/>
      <c r="I25" s="1"/>
      <c r="J25" s="1"/>
      <c r="K25" s="1"/>
    </row>
    <row r="26" spans="1:11">
      <c r="A26" s="40">
        <f>'Исходные данные'!B25</f>
        <v>0</v>
      </c>
      <c r="B26" s="40">
        <f>'Исходные данные'!C25</f>
        <v>0</v>
      </c>
      <c r="C26" s="4"/>
      <c r="D26" s="7" t="str">
        <f>IF('Исходные данные'!M25=1,'Исходные данные'!G25+3,IF('Исходные данные'!M25=3,'Исходные данные'!G25+3,"---"))</f>
        <v>---</v>
      </c>
      <c r="E26" s="7" t="str">
        <f>'Исходные данные'!S25</f>
        <v>---</v>
      </c>
      <c r="F26" s="14">
        <f>'Исходные данные'!H25*2</f>
        <v>0</v>
      </c>
      <c r="G26" s="38" t="str">
        <f>IF('Исходные данные'!L25=1,"ОЦ",IF('Исходные данные'!L25=2,"нерж",IF('Исходные данные'!L25=3,"ОЦ",IF('Исходные данные'!L25=4,"краш","---"))))</f>
        <v>---</v>
      </c>
      <c r="H26" s="70"/>
      <c r="I26" s="1"/>
      <c r="J26" s="1"/>
      <c r="K26" s="1"/>
    </row>
    <row r="27" spans="1:11">
      <c r="A27" s="40">
        <f>'Исходные данные'!B26</f>
        <v>0</v>
      </c>
      <c r="B27" s="40">
        <f>'Исходные данные'!C26</f>
        <v>0</v>
      </c>
      <c r="C27" s="4"/>
      <c r="D27" s="7" t="str">
        <f>IF('Исходные данные'!M26=1,'Исходные данные'!G26+3,IF('Исходные данные'!M26=3,'Исходные данные'!G26+3,"---"))</f>
        <v>---</v>
      </c>
      <c r="E27" s="7" t="str">
        <f>'Исходные данные'!S26</f>
        <v>---</v>
      </c>
      <c r="F27" s="14">
        <f>'Исходные данные'!H26*2</f>
        <v>0</v>
      </c>
      <c r="G27" s="38" t="str">
        <f>IF('Исходные данные'!L26=1,"ОЦ",IF('Исходные данные'!L26=2,"нерж",IF('Исходные данные'!L26=3,"ОЦ",IF('Исходные данные'!L26=4,"краш","---"))))</f>
        <v>---</v>
      </c>
      <c r="H27" s="70"/>
      <c r="I27" s="1"/>
      <c r="J27" s="1"/>
      <c r="K27" s="1"/>
    </row>
    <row r="28" spans="1:11">
      <c r="A28" s="1"/>
      <c r="B28" s="1"/>
      <c r="C28" s="1"/>
      <c r="D28" s="7"/>
      <c r="E28" s="7"/>
      <c r="F28" s="14"/>
      <c r="G28" s="38"/>
      <c r="H28" s="1"/>
      <c r="I28" s="1"/>
      <c r="J28" s="1"/>
      <c r="K28" s="1"/>
    </row>
    <row r="30" spans="1:11">
      <c r="B30" t="s">
        <v>41</v>
      </c>
      <c r="C30" s="34"/>
      <c r="D30" s="34" t="s">
        <v>57</v>
      </c>
      <c r="E30" s="34" t="s">
        <v>60</v>
      </c>
      <c r="F30">
        <v>0</v>
      </c>
      <c r="G30" t="s">
        <v>61</v>
      </c>
    </row>
    <row r="31" spans="1:11">
      <c r="C31" s="34"/>
      <c r="D31" s="34"/>
      <c r="E31" s="34"/>
    </row>
    <row r="32" spans="1:11">
      <c r="C32" s="34"/>
      <c r="D32" s="34" t="s">
        <v>59</v>
      </c>
      <c r="E32" s="34" t="s">
        <v>60</v>
      </c>
      <c r="F32">
        <f>'Исходные данные'!AF30</f>
        <v>0</v>
      </c>
      <c r="G32" t="s">
        <v>61</v>
      </c>
    </row>
    <row r="34" spans="1:10" ht="18.75">
      <c r="B34" s="21" t="str">
        <f>'Труматик гермики'!B33</f>
        <v>Срок</v>
      </c>
      <c r="C34" s="22"/>
      <c r="D34" s="22">
        <f>'Исходные данные'!F29</f>
        <v>0</v>
      </c>
      <c r="E34" s="22"/>
    </row>
    <row r="36" spans="1:10">
      <c r="B36" t="str">
        <f>'Труматик гермики'!B35</f>
        <v>Мастер_______________________________</v>
      </c>
      <c r="F36" t="str">
        <f>'Труматик гермики'!G35</f>
        <v>В.В. Данилов</v>
      </c>
    </row>
    <row r="38" spans="1:10" ht="21">
      <c r="A38" s="47" t="s">
        <v>207</v>
      </c>
      <c r="B38" s="48"/>
      <c r="C38" s="48"/>
      <c r="D38" s="48"/>
      <c r="E38" s="48"/>
      <c r="F38" s="448" t="s">
        <v>36</v>
      </c>
      <c r="G38" s="448"/>
      <c r="I38" t="s">
        <v>222</v>
      </c>
      <c r="J38" s="47"/>
    </row>
    <row r="39" spans="1:10" ht="18.75">
      <c r="A39" s="47"/>
      <c r="B39" s="49" t="s">
        <v>84</v>
      </c>
      <c r="C39" s="49"/>
      <c r="D39" s="49"/>
      <c r="E39" s="49"/>
      <c r="F39" s="49"/>
      <c r="G39" s="49">
        <f>'Исходные данные'!F4</f>
        <v>0</v>
      </c>
      <c r="H39" s="47"/>
      <c r="I39" s="47"/>
      <c r="J39" s="47"/>
    </row>
    <row r="40" spans="1:10">
      <c r="A40" s="47"/>
      <c r="B40" s="47"/>
      <c r="C40" s="47"/>
      <c r="D40" s="47"/>
      <c r="E40" s="47"/>
      <c r="F40" s="47"/>
      <c r="G40" s="47"/>
      <c r="H40" s="47"/>
      <c r="I40" s="47"/>
      <c r="J40" s="47"/>
    </row>
    <row r="41" spans="1:10">
      <c r="A41" s="47"/>
      <c r="B41" s="47" t="s">
        <v>85</v>
      </c>
      <c r="C41" s="47"/>
      <c r="D41" s="47"/>
      <c r="E41" s="47"/>
      <c r="F41" s="47"/>
      <c r="G41" s="47"/>
      <c r="H41" s="47"/>
      <c r="I41" s="47"/>
      <c r="J41" s="47"/>
    </row>
    <row r="42" spans="1:10">
      <c r="A42" s="47"/>
      <c r="B42" s="47"/>
      <c r="C42" s="47"/>
      <c r="D42" s="47"/>
      <c r="E42" s="47"/>
      <c r="F42" s="47"/>
      <c r="G42" s="47"/>
      <c r="H42" s="47"/>
      <c r="I42" s="47"/>
      <c r="J42" s="47"/>
    </row>
    <row r="43" spans="1:10">
      <c r="A43" s="47"/>
      <c r="B43" s="47" t="s">
        <v>78</v>
      </c>
      <c r="C43" s="47" t="s">
        <v>86</v>
      </c>
      <c r="D43" s="47"/>
      <c r="E43" s="47"/>
      <c r="F43" s="47" t="s">
        <v>213</v>
      </c>
      <c r="G43" s="47"/>
      <c r="H43" s="47"/>
      <c r="I43" s="47"/>
      <c r="J43" s="47"/>
    </row>
    <row r="44" spans="1:10">
      <c r="A44" s="47"/>
      <c r="B44" s="47"/>
      <c r="C44" s="47"/>
      <c r="D44" s="47"/>
      <c r="E44" s="47"/>
      <c r="F44" s="47"/>
      <c r="G44" s="47"/>
      <c r="H44" s="47"/>
      <c r="I44" s="47"/>
      <c r="J44" s="47"/>
    </row>
    <row r="45" spans="1:10">
      <c r="A45" s="47"/>
      <c r="B45" s="47" t="s">
        <v>87</v>
      </c>
      <c r="C45" s="47"/>
      <c r="D45" s="47"/>
      <c r="E45" s="47"/>
      <c r="F45" s="47" t="s">
        <v>213</v>
      </c>
      <c r="G45" s="47"/>
      <c r="H45" s="47"/>
      <c r="I45" s="47"/>
      <c r="J45" s="47"/>
    </row>
    <row r="46" spans="1:10">
      <c r="A46" s="47"/>
      <c r="B46" s="47"/>
      <c r="C46" s="47"/>
      <c r="D46" s="47"/>
      <c r="E46" s="47"/>
      <c r="F46" s="47"/>
      <c r="G46" s="47"/>
      <c r="H46" s="47"/>
      <c r="I46" s="47"/>
      <c r="J46" s="47"/>
    </row>
    <row r="47" spans="1:10">
      <c r="A47" s="47"/>
      <c r="B47" s="47" t="s">
        <v>88</v>
      </c>
      <c r="C47" s="47"/>
      <c r="D47" s="47"/>
      <c r="E47" s="47"/>
      <c r="F47" s="47" t="s">
        <v>213</v>
      </c>
      <c r="G47" s="47"/>
      <c r="H47" s="47"/>
      <c r="I47" s="47"/>
      <c r="J47" s="47"/>
    </row>
    <row r="48" spans="1:10">
      <c r="A48" s="47"/>
      <c r="B48" s="47"/>
      <c r="C48" s="47"/>
      <c r="D48" s="47"/>
      <c r="E48" s="47"/>
      <c r="F48" s="47"/>
      <c r="G48" s="47"/>
      <c r="H48" s="47"/>
      <c r="I48" s="47"/>
      <c r="J48" s="47"/>
    </row>
  </sheetData>
  <mergeCells count="12">
    <mergeCell ref="A2:J2"/>
    <mergeCell ref="J5:J6"/>
    <mergeCell ref="K5:K6"/>
    <mergeCell ref="H5:H6"/>
    <mergeCell ref="I5:I6"/>
    <mergeCell ref="F38:G38"/>
    <mergeCell ref="A3:F3"/>
    <mergeCell ref="A5:A6"/>
    <mergeCell ref="B5:B6"/>
    <mergeCell ref="C6:D6"/>
    <mergeCell ref="C5:F5"/>
    <mergeCell ref="A4:B4"/>
  </mergeCells>
  <pageMargins left="0.70866141732283472" right="0.70866141732283472" top="0.74803149606299213" bottom="0.74803149606299213" header="0.31496062992125984" footer="0.31496062992125984"/>
  <pageSetup paperSize="9" scale="91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3"/>
  <sheetViews>
    <sheetView workbookViewId="0">
      <selection activeCell="A8" sqref="A8"/>
    </sheetView>
  </sheetViews>
  <sheetFormatPr defaultRowHeight="15"/>
  <cols>
    <col min="1" max="1" width="10.28515625" customWidth="1"/>
    <col min="2" max="2" width="11.7109375" customWidth="1"/>
    <col min="3" max="3" width="4.42578125" customWidth="1"/>
    <col min="4" max="4" width="5" customWidth="1"/>
    <col min="5" max="5" width="8.42578125" customWidth="1"/>
    <col min="6" max="6" width="9.42578125" customWidth="1"/>
    <col min="7" max="7" width="6.5703125" customWidth="1"/>
    <col min="8" max="8" width="10.5703125" customWidth="1"/>
    <col min="9" max="9" width="9.42578125" customWidth="1"/>
    <col min="10" max="10" width="11" customWidth="1"/>
    <col min="11" max="11" width="7.85546875" customWidth="1"/>
    <col min="12" max="12" width="11.7109375" customWidth="1"/>
  </cols>
  <sheetData>
    <row r="1" spans="1:41">
      <c r="J1" t="s">
        <v>216</v>
      </c>
    </row>
    <row r="2" spans="1:41" ht="18.75">
      <c r="A2" s="434" t="s">
        <v>36</v>
      </c>
      <c r="B2" s="434"/>
      <c r="C2" s="434"/>
      <c r="D2" s="434"/>
      <c r="E2" s="434"/>
      <c r="F2" s="434"/>
      <c r="G2" s="434"/>
      <c r="H2" s="434"/>
      <c r="I2" s="434"/>
      <c r="J2" s="434"/>
    </row>
    <row r="3" spans="1:41" ht="18.75">
      <c r="A3" s="434" t="s">
        <v>214</v>
      </c>
      <c r="B3" s="434"/>
      <c r="C3" s="434"/>
      <c r="D3" s="434"/>
      <c r="E3" s="434"/>
      <c r="F3" s="434"/>
      <c r="G3" s="434"/>
    </row>
    <row r="4" spans="1:41" ht="24" thickBot="1">
      <c r="A4" s="459" t="s">
        <v>80</v>
      </c>
      <c r="B4" s="459"/>
      <c r="C4" s="460">
        <f>'Ножницы стенка'!D4</f>
        <v>0</v>
      </c>
      <c r="D4" s="460"/>
    </row>
    <row r="5" spans="1:41" ht="53.25" customHeight="1">
      <c r="A5" s="450" t="s">
        <v>10</v>
      </c>
      <c r="B5" s="450" t="s">
        <v>0</v>
      </c>
      <c r="C5" s="450"/>
      <c r="D5" s="453" t="s">
        <v>20</v>
      </c>
      <c r="E5" s="453"/>
      <c r="F5" s="453"/>
      <c r="G5" s="453"/>
      <c r="H5" s="450" t="s">
        <v>38</v>
      </c>
      <c r="I5" s="461" t="s">
        <v>209</v>
      </c>
      <c r="J5" s="462"/>
      <c r="K5" s="450" t="s">
        <v>206</v>
      </c>
      <c r="L5" s="435" t="s">
        <v>218</v>
      </c>
      <c r="M5" s="446" t="s">
        <v>217</v>
      </c>
      <c r="N5" s="435" t="s">
        <v>219</v>
      </c>
      <c r="O5" s="446" t="s">
        <v>217</v>
      </c>
      <c r="R5" s="343" t="s">
        <v>340</v>
      </c>
      <c r="S5" s="343" t="s">
        <v>341</v>
      </c>
      <c r="U5" s="1"/>
      <c r="V5" s="456" t="s">
        <v>340</v>
      </c>
      <c r="W5" s="456"/>
      <c r="X5" s="456"/>
      <c r="Y5" s="456"/>
      <c r="Z5" s="456"/>
      <c r="AA5" s="456"/>
      <c r="AB5" s="456" t="s">
        <v>341</v>
      </c>
      <c r="AC5" s="456"/>
      <c r="AD5" s="456"/>
      <c r="AE5" s="456"/>
      <c r="AF5" s="456"/>
      <c r="AG5" s="456"/>
      <c r="AJ5" t="s">
        <v>346</v>
      </c>
    </row>
    <row r="6" spans="1:41" ht="30" customHeight="1">
      <c r="A6" s="450"/>
      <c r="B6" s="450"/>
      <c r="C6" s="450"/>
      <c r="D6" s="458" t="s">
        <v>11</v>
      </c>
      <c r="E6" s="440"/>
      <c r="F6" s="11" t="s">
        <v>12</v>
      </c>
      <c r="G6" s="23" t="s">
        <v>6</v>
      </c>
      <c r="H6" s="450"/>
      <c r="I6" s="61" t="s">
        <v>210</v>
      </c>
      <c r="J6" s="61" t="s">
        <v>211</v>
      </c>
      <c r="K6" s="450"/>
      <c r="L6" s="436"/>
      <c r="M6" s="447"/>
      <c r="N6" s="436"/>
      <c r="O6" s="447"/>
      <c r="Q6" t="s">
        <v>357</v>
      </c>
      <c r="R6" s="1" t="s">
        <v>342</v>
      </c>
      <c r="S6" s="1" t="s">
        <v>342</v>
      </c>
      <c r="U6" s="1" t="s">
        <v>339</v>
      </c>
      <c r="V6" s="1">
        <v>1</v>
      </c>
      <c r="W6" s="1">
        <v>2</v>
      </c>
      <c r="X6" s="1">
        <v>3</v>
      </c>
      <c r="Y6" s="1">
        <v>4</v>
      </c>
      <c r="Z6" s="1">
        <v>5</v>
      </c>
      <c r="AA6" s="1">
        <v>6</v>
      </c>
      <c r="AB6" s="1">
        <v>1</v>
      </c>
      <c r="AC6" s="1">
        <v>2</v>
      </c>
      <c r="AD6" s="1">
        <v>3</v>
      </c>
      <c r="AE6" s="1">
        <v>4</v>
      </c>
      <c r="AF6" s="1">
        <v>5</v>
      </c>
      <c r="AG6" s="1">
        <v>6</v>
      </c>
      <c r="AI6" t="s">
        <v>355</v>
      </c>
      <c r="AJ6" t="s">
        <v>2</v>
      </c>
      <c r="AK6" t="s">
        <v>349</v>
      </c>
      <c r="AL6" t="s">
        <v>350</v>
      </c>
      <c r="AM6" t="s">
        <v>351</v>
      </c>
      <c r="AN6" t="s">
        <v>352</v>
      </c>
      <c r="AO6" t="s">
        <v>353</v>
      </c>
    </row>
    <row r="7" spans="1:41" ht="21.75" customHeight="1">
      <c r="A7" s="2">
        <f>'Исходные данные'!B6</f>
        <v>0</v>
      </c>
      <c r="B7" s="2">
        <f>'Исходные данные'!C6</f>
        <v>0</v>
      </c>
      <c r="C7" s="2">
        <f>'Исходные данные'!D6</f>
        <v>0</v>
      </c>
      <c r="D7" s="4" t="s">
        <v>7</v>
      </c>
      <c r="E7" s="7" t="str">
        <f>IF('Исходные данные'!M6=1,IF('Исходные данные'!B6&lt;400000,'Исходные данные'!G6+40,IF('Исходные данные'!S6=212,'Исходные данные'!G6+80,'Исходные данные'!G6+40)),"---")</f>
        <v>---</v>
      </c>
      <c r="F7" s="7" t="str">
        <f>IF('Исходные данные'!M6=1,IF('Исходные данные'!S6=212,165,171.4),"---")</f>
        <v>---</v>
      </c>
      <c r="G7" s="14">
        <f>'Исходные данные'!H6*4</f>
        <v>0</v>
      </c>
      <c r="H7" s="31" t="str">
        <f>IF('Исходные данные'!L6=1,"ОЦ",IF('Исходные данные'!L6=2,"нерж",IF('Исходные данные'!L6=3,"ОЦ",IF('Исходные данные'!L6=4,"ОЦ 0,7 краш","---"))))</f>
        <v>---</v>
      </c>
      <c r="I7" s="69"/>
      <c r="J7" s="69">
        <f>IF(E7&lt;2000,R7,S7)*Q7</f>
        <v>0</v>
      </c>
      <c r="K7" s="1" t="str">
        <f>IF(F7=165,"кожух с 8 углами","---")</f>
        <v>---</v>
      </c>
      <c r="L7" s="70"/>
      <c r="M7" s="1"/>
      <c r="N7" s="1"/>
      <c r="O7" s="1"/>
      <c r="P7">
        <f>IF('Исходные данные'!R6=212,'Исходные данные'!G6+80,'Исходные данные'!G6+40)</f>
        <v>40</v>
      </c>
      <c r="Q7">
        <f>IF(H7="нерж",1.2,1)</f>
        <v>1</v>
      </c>
      <c r="R7" s="307">
        <f t="shared" ref="R7:R10" si="0">IFERROR(HLOOKUP(G7,$V$6:$AA$9,2),0)</f>
        <v>0</v>
      </c>
      <c r="S7">
        <f t="shared" ref="S7:S27" si="1">IFERROR( HLOOKUP(G7,$AB$6:$AG$9,2),0)</f>
        <v>0</v>
      </c>
      <c r="U7" s="1" t="s">
        <v>342</v>
      </c>
      <c r="V7" s="1">
        <v>6.0000000000000001E-3</v>
      </c>
      <c r="W7" s="1">
        <v>8.0000000000000002E-3</v>
      </c>
      <c r="X7" s="1">
        <v>1.2999999999999999E-2</v>
      </c>
      <c r="Y7" s="1">
        <v>1.7000000000000001E-2</v>
      </c>
      <c r="Z7" s="1">
        <v>2.1000000000000001E-2</v>
      </c>
      <c r="AA7" s="1">
        <v>2.5000000000000001E-2</v>
      </c>
      <c r="AB7" s="1">
        <v>8.0000000000000002E-3</v>
      </c>
      <c r="AC7" s="1">
        <v>1.4E-2</v>
      </c>
      <c r="AD7" s="1">
        <v>2.1000000000000001E-2</v>
      </c>
      <c r="AE7" s="1">
        <v>2.7E-2</v>
      </c>
      <c r="AF7" s="1">
        <v>3.3000000000000002E-2</v>
      </c>
      <c r="AG7" s="1">
        <v>0.04</v>
      </c>
      <c r="AI7" t="s">
        <v>358</v>
      </c>
      <c r="AJ7">
        <v>200</v>
      </c>
      <c r="AK7">
        <v>8.0000000000000002E-3</v>
      </c>
      <c r="AL7">
        <v>1.4E-2</v>
      </c>
      <c r="AM7">
        <v>1.4E-2</v>
      </c>
      <c r="AN7" s="347">
        <v>2.1999999999999999E-2</v>
      </c>
      <c r="AO7" s="347">
        <v>4.8000000000000001E-2</v>
      </c>
    </row>
    <row r="8" spans="1:41">
      <c r="A8" s="40">
        <f>'Исходные данные'!B7</f>
        <v>0</v>
      </c>
      <c r="B8" s="40">
        <f>'Исходные данные'!C7</f>
        <v>0</v>
      </c>
      <c r="C8" s="40">
        <f>'Исходные данные'!D7</f>
        <v>0</v>
      </c>
      <c r="D8" s="4" t="s">
        <v>7</v>
      </c>
      <c r="E8" s="7" t="str">
        <f>IF('Исходные данные'!M7=1,IF('Исходные данные'!B7&lt;400000,'Исходные данные'!G7+40,IF('Исходные данные'!S7=212,'Исходные данные'!G7+80,'Исходные данные'!G7+40)),"---")</f>
        <v>---</v>
      </c>
      <c r="F8" s="7" t="str">
        <f>IF('Исходные данные'!M7=1,IF('Исходные данные'!S7=212,165,171.4),"---")</f>
        <v>---</v>
      </c>
      <c r="G8" s="149">
        <f>'Исходные данные'!H7*4</f>
        <v>0</v>
      </c>
      <c r="H8" s="31" t="str">
        <f>IF('Исходные данные'!L7=1,"ОЦ",IF('Исходные данные'!L7=2,"нерж",IF('Исходные данные'!L7=3,"ОЦ",IF('Исходные данные'!L7=4,"ОЦ 0,7 краш","---"))))</f>
        <v>---</v>
      </c>
      <c r="I8" s="45">
        <v>0</v>
      </c>
      <c r="J8" s="342">
        <f t="shared" ref="J8:J27" si="2">IF(E8&lt;2000,R8,S8)*Q8</f>
        <v>0</v>
      </c>
      <c r="K8" s="1" t="str">
        <f t="shared" ref="K8:K27" si="3">IF(F8=165,"кожух с 8 углами","---")</f>
        <v>---</v>
      </c>
      <c r="L8" s="70"/>
      <c r="M8" s="1"/>
      <c r="N8" s="1"/>
      <c r="O8" s="1"/>
      <c r="Q8">
        <f t="shared" ref="Q8:Q27" si="4">IF(H8="нерж",1.2,1)</f>
        <v>1</v>
      </c>
      <c r="R8" s="307">
        <f t="shared" si="0"/>
        <v>0</v>
      </c>
      <c r="S8">
        <f t="shared" si="1"/>
        <v>0</v>
      </c>
      <c r="U8" s="1" t="s">
        <v>343</v>
      </c>
      <c r="V8" s="1">
        <v>6.0000000000000001E-3</v>
      </c>
      <c r="W8" s="1">
        <v>1.2E-2</v>
      </c>
      <c r="X8" s="1">
        <v>1.7999999999999999E-2</v>
      </c>
      <c r="Y8" s="1">
        <v>2.4E-2</v>
      </c>
      <c r="Z8" s="1">
        <v>2.8000000000000001E-2</v>
      </c>
      <c r="AA8" s="1">
        <v>3.5000000000000003E-2</v>
      </c>
      <c r="AB8" s="1">
        <v>0.01</v>
      </c>
      <c r="AC8" s="1">
        <v>1.7999999999999999E-2</v>
      </c>
      <c r="AD8" s="1">
        <v>2.5999999999999999E-2</v>
      </c>
      <c r="AE8" s="1">
        <v>3.4000000000000002E-2</v>
      </c>
      <c r="AF8" s="1">
        <v>4.2000000000000003E-2</v>
      </c>
      <c r="AG8" s="1">
        <v>0.05</v>
      </c>
      <c r="AI8" t="s">
        <v>358</v>
      </c>
      <c r="AJ8">
        <v>500</v>
      </c>
      <c r="AK8">
        <v>1.4E-2</v>
      </c>
      <c r="AL8">
        <v>1.4E-2</v>
      </c>
      <c r="AM8">
        <v>1.7000000000000001E-2</v>
      </c>
      <c r="AN8" s="347">
        <v>2.1999999999999999E-2</v>
      </c>
      <c r="AO8" s="347">
        <v>4.8000000000000001E-2</v>
      </c>
    </row>
    <row r="9" spans="1:41">
      <c r="A9" s="40">
        <f>'Исходные данные'!B8</f>
        <v>0</v>
      </c>
      <c r="B9" s="40">
        <f>'Исходные данные'!C8</f>
        <v>0</v>
      </c>
      <c r="C9" s="40">
        <f>'Исходные данные'!D8</f>
        <v>0</v>
      </c>
      <c r="D9" s="4" t="s">
        <v>7</v>
      </c>
      <c r="E9" s="7" t="str">
        <f>IF('Исходные данные'!M8=1,IF('Исходные данные'!B8&lt;400000,'Исходные данные'!G8+40,IF('Исходные данные'!S8=212,'Исходные данные'!G8+80,'Исходные данные'!G8+40)),"---")</f>
        <v>---</v>
      </c>
      <c r="F9" s="7" t="str">
        <f>IF('Исходные данные'!M8=1,IF('Исходные данные'!S8=212,165,171.4),"---")</f>
        <v>---</v>
      </c>
      <c r="G9" s="149">
        <f>'Исходные данные'!H8*4</f>
        <v>0</v>
      </c>
      <c r="H9" s="31" t="str">
        <f>IF('Исходные данные'!L8=1,"ОЦ",IF('Исходные данные'!L8=2,"нерж",IF('Исходные данные'!L8=3,"ОЦ",IF('Исходные данные'!L8=4,"ОЦ 0,7 краш","---"))))</f>
        <v>---</v>
      </c>
      <c r="I9" s="64">
        <v>0</v>
      </c>
      <c r="J9" s="342">
        <f t="shared" si="2"/>
        <v>0</v>
      </c>
      <c r="K9" s="1" t="str">
        <f t="shared" si="3"/>
        <v>---</v>
      </c>
      <c r="L9" s="70"/>
      <c r="M9" s="1"/>
      <c r="N9" s="1"/>
      <c r="O9" s="1"/>
      <c r="Q9">
        <f t="shared" si="4"/>
        <v>1</v>
      </c>
      <c r="R9" s="307">
        <f t="shared" si="0"/>
        <v>0</v>
      </c>
      <c r="S9">
        <f t="shared" si="1"/>
        <v>0</v>
      </c>
      <c r="U9" s="1" t="s">
        <v>344</v>
      </c>
      <c r="V9" s="1">
        <v>8.0000000000000002E-3</v>
      </c>
      <c r="W9" s="1">
        <v>1.4999999999999999E-2</v>
      </c>
      <c r="X9" s="1">
        <v>2.3E-2</v>
      </c>
      <c r="Y9" s="1">
        <v>3.2000000000000001E-2</v>
      </c>
      <c r="Z9" s="1">
        <v>3.6999999999999998E-2</v>
      </c>
      <c r="AA9" s="1">
        <v>4.5999999999999999E-2</v>
      </c>
      <c r="AB9" s="1">
        <v>1.4E-2</v>
      </c>
      <c r="AC9" s="1">
        <v>2.5000000000000001E-2</v>
      </c>
      <c r="AD9" s="1">
        <v>3.6999999999999998E-2</v>
      </c>
      <c r="AE9" s="1">
        <v>4.9000000000000002E-2</v>
      </c>
      <c r="AF9" s="1">
        <v>0.06</v>
      </c>
      <c r="AG9" s="1">
        <v>7.1999999999999995E-2</v>
      </c>
      <c r="AI9" t="s">
        <v>358</v>
      </c>
      <c r="AJ9">
        <v>1250</v>
      </c>
      <c r="AK9">
        <v>1.4E-2</v>
      </c>
      <c r="AL9">
        <v>2.1999999999999999E-2</v>
      </c>
      <c r="AM9">
        <v>2.1999999999999999E-2</v>
      </c>
      <c r="AN9" s="347">
        <v>4.8000000000000001E-2</v>
      </c>
      <c r="AO9" s="347">
        <v>4.8000000000000001E-2</v>
      </c>
    </row>
    <row r="10" spans="1:41">
      <c r="A10" s="40">
        <f>'Исходные данные'!B9</f>
        <v>0</v>
      </c>
      <c r="B10" s="40">
        <f>'Исходные данные'!C9</f>
        <v>0</v>
      </c>
      <c r="C10" s="40">
        <f>'Исходные данные'!D9</f>
        <v>0</v>
      </c>
      <c r="D10" s="4" t="s">
        <v>7</v>
      </c>
      <c r="E10" s="7" t="str">
        <f>IF('Исходные данные'!M9=1,IF('Исходные данные'!B9&lt;400000,'Исходные данные'!G9+40,IF('Исходные данные'!S9=212,'Исходные данные'!G9+80,'Исходные данные'!G9+40)),"---")</f>
        <v>---</v>
      </c>
      <c r="F10" s="7" t="str">
        <f>IF('Исходные данные'!M9=1,IF('Исходные данные'!S9=212,165,171.4),"---")</f>
        <v>---</v>
      </c>
      <c r="G10" s="149">
        <f>'Исходные данные'!H9*4</f>
        <v>0</v>
      </c>
      <c r="H10" s="31" t="str">
        <f>IF('Исходные данные'!L9=1,"ОЦ",IF('Исходные данные'!L9=2,"нерж",IF('Исходные данные'!L9=3,"ОЦ",IF('Исходные данные'!L9=4," 0,7 краш","---"))))</f>
        <v>---</v>
      </c>
      <c r="I10" s="65">
        <v>0</v>
      </c>
      <c r="J10" s="342">
        <f t="shared" si="2"/>
        <v>0</v>
      </c>
      <c r="K10" s="1" t="str">
        <f t="shared" si="3"/>
        <v>---</v>
      </c>
      <c r="L10" s="70"/>
      <c r="M10" s="1"/>
      <c r="N10" s="1"/>
      <c r="O10" s="1"/>
      <c r="P10">
        <f>IF('Исходные данные'!B6&lt;400000,'Исходные данные'!G6+40,0)</f>
        <v>40</v>
      </c>
      <c r="Q10">
        <f t="shared" si="4"/>
        <v>1</v>
      </c>
      <c r="R10" s="307">
        <f t="shared" si="0"/>
        <v>0</v>
      </c>
      <c r="S10">
        <f t="shared" si="1"/>
        <v>0</v>
      </c>
      <c r="AN10" s="347"/>
      <c r="AO10" s="347"/>
    </row>
    <row r="11" spans="1:41">
      <c r="A11" s="40">
        <f>'Исходные данные'!B10</f>
        <v>0</v>
      </c>
      <c r="B11" s="40">
        <f>'Исходные данные'!C10</f>
        <v>0</v>
      </c>
      <c r="C11" s="40">
        <f>'Исходные данные'!D10</f>
        <v>0</v>
      </c>
      <c r="D11" s="4"/>
      <c r="E11" s="7" t="str">
        <f>IF('Исходные данные'!M10=1,IF('Исходные данные'!B10&lt;400000,'Исходные данные'!G10+40,IF('Исходные данные'!S10=212,'Исходные данные'!G10+80,'Исходные данные'!G10+40)),"---")</f>
        <v>---</v>
      </c>
      <c r="F11" s="7" t="str">
        <f>IF('Исходные данные'!M10=1,IF('Исходные данные'!S10=212,165,171.4),"---")</f>
        <v>---</v>
      </c>
      <c r="G11" s="149">
        <f>'Исходные данные'!H10*4</f>
        <v>0</v>
      </c>
      <c r="H11" s="31" t="str">
        <f>IF('Исходные данные'!L10=1,"ОЦ",IF('Исходные данные'!L10=2,"нерж",IF('Исходные данные'!L10=3,"ОЦ",IF('Исходные данные'!L10=4,"ОЦ 0,7 краш","---"))))</f>
        <v>---</v>
      </c>
      <c r="I11" s="65">
        <v>0</v>
      </c>
      <c r="J11" s="342">
        <f t="shared" si="2"/>
        <v>0</v>
      </c>
      <c r="K11" s="1" t="str">
        <f t="shared" si="3"/>
        <v>---</v>
      </c>
      <c r="L11" s="70"/>
      <c r="M11" s="1"/>
      <c r="N11" s="1"/>
      <c r="O11" s="1"/>
      <c r="Q11">
        <f t="shared" si="4"/>
        <v>1</v>
      </c>
      <c r="R11" s="307">
        <f t="shared" ref="R11:R27" si="5">IFERROR(HLOOKUP(G11,$V$6:$AA$9,2),0)</f>
        <v>0</v>
      </c>
      <c r="S11">
        <f t="shared" si="1"/>
        <v>0</v>
      </c>
      <c r="AN11" s="347"/>
      <c r="AO11" s="347"/>
    </row>
    <row r="12" spans="1:41">
      <c r="A12" s="40">
        <f>'Исходные данные'!B11</f>
        <v>0</v>
      </c>
      <c r="B12" s="40">
        <f>'Исходные данные'!C11</f>
        <v>0</v>
      </c>
      <c r="C12" s="40">
        <f>'Исходные данные'!D11</f>
        <v>0</v>
      </c>
      <c r="D12" s="4"/>
      <c r="E12" s="7" t="str">
        <f>IF('Исходные данные'!M11=1,IF('Исходные данные'!B11&lt;400000,'Исходные данные'!G11+40,IF('Исходные данные'!S11=212,'Исходные данные'!G11+80,'Исходные данные'!G11+40)),"---")</f>
        <v>---</v>
      </c>
      <c r="F12" s="7" t="str">
        <f>IF('Исходные данные'!M11=1,IF('Исходные данные'!S11=212,165,171.4),"---")</f>
        <v>---</v>
      </c>
      <c r="G12" s="149">
        <f>'Исходные данные'!H11*4</f>
        <v>0</v>
      </c>
      <c r="H12" s="31" t="str">
        <f>IF('Исходные данные'!L11=1,"ОЦ",IF('Исходные данные'!L11=2,"нерж",IF('Исходные данные'!L11=3,"ОЦ",IF('Исходные данные'!L11=4,"ОЦ 0,7 краш","---"))))</f>
        <v>---</v>
      </c>
      <c r="I12" s="65">
        <v>0</v>
      </c>
      <c r="J12" s="342">
        <f t="shared" si="2"/>
        <v>0</v>
      </c>
      <c r="K12" s="1" t="str">
        <f t="shared" si="3"/>
        <v>---</v>
      </c>
      <c r="L12" s="70"/>
      <c r="M12" s="1"/>
      <c r="N12" s="1"/>
      <c r="O12" s="1"/>
      <c r="Q12">
        <f t="shared" si="4"/>
        <v>1</v>
      </c>
      <c r="R12" s="307">
        <f t="shared" si="5"/>
        <v>0</v>
      </c>
      <c r="S12">
        <f t="shared" si="1"/>
        <v>0</v>
      </c>
    </row>
    <row r="13" spans="1:41">
      <c r="A13" s="40">
        <f>'Исходные данные'!B12</f>
        <v>0</v>
      </c>
      <c r="B13" s="40">
        <f>'Исходные данные'!C12</f>
        <v>0</v>
      </c>
      <c r="C13" s="40">
        <f>'Исходные данные'!D12</f>
        <v>0</v>
      </c>
      <c r="D13" s="4"/>
      <c r="E13" s="7" t="str">
        <f>IF('Исходные данные'!M12=1,IF('Исходные данные'!B12&lt;400000,'Исходные данные'!G12+40,IF('Исходные данные'!S12=212,'Исходные данные'!G12+80,'Исходные данные'!G12+40)),"---")</f>
        <v>---</v>
      </c>
      <c r="F13" s="7" t="str">
        <f>IF('Исходные данные'!M12=1,IF('Исходные данные'!S12=212,165,171.4),"---")</f>
        <v>---</v>
      </c>
      <c r="G13" s="149">
        <f>'Исходные данные'!H12*4</f>
        <v>0</v>
      </c>
      <c r="H13" s="31" t="str">
        <f>IF('Исходные данные'!L12=1,"ОЦ",IF('Исходные данные'!L12=2,"нерж",IF('Исходные данные'!L12=3,"ОЦ",IF('Исходные данные'!L12=4,"ОЦ 0,7 краш","---"))))</f>
        <v>---</v>
      </c>
      <c r="I13" s="65">
        <v>0</v>
      </c>
      <c r="J13" s="342">
        <f t="shared" si="2"/>
        <v>0</v>
      </c>
      <c r="K13" s="1" t="str">
        <f t="shared" si="3"/>
        <v>---</v>
      </c>
      <c r="L13" s="70"/>
      <c r="M13" s="1"/>
      <c r="N13" s="1"/>
      <c r="O13" s="1"/>
      <c r="Q13">
        <f t="shared" si="4"/>
        <v>1</v>
      </c>
      <c r="R13" s="307">
        <f t="shared" si="5"/>
        <v>0</v>
      </c>
      <c r="S13">
        <f t="shared" si="1"/>
        <v>0</v>
      </c>
    </row>
    <row r="14" spans="1:41">
      <c r="A14" s="40">
        <f>'Исходные данные'!B13</f>
        <v>0</v>
      </c>
      <c r="B14" s="40">
        <f>'Исходные данные'!C13</f>
        <v>0</v>
      </c>
      <c r="C14" s="40">
        <f>'Исходные данные'!D13</f>
        <v>0</v>
      </c>
      <c r="D14" s="4"/>
      <c r="E14" s="7" t="str">
        <f>IF('Исходные данные'!M13=1,IF('Исходные данные'!B13&lt;400000,'Исходные данные'!G13+40,IF('Исходные данные'!S13=212,'Исходные данные'!G13+80,'Исходные данные'!G13+40)),"---")</f>
        <v>---</v>
      </c>
      <c r="F14" s="7" t="str">
        <f>IF('Исходные данные'!M13=1,IF('Исходные данные'!S13=212,165,171.4),"---")</f>
        <v>---</v>
      </c>
      <c r="G14" s="149">
        <f>'Исходные данные'!H13*4</f>
        <v>0</v>
      </c>
      <c r="H14" s="31" t="str">
        <f>IF('Исходные данные'!L13=1,"ОЦ",IF('Исходные данные'!L13=2,"нерж",IF('Исходные данные'!L13=3,"ОЦ",IF('Исходные данные'!L13=4,"ОЦ 0,7 краш","---"))))</f>
        <v>---</v>
      </c>
      <c r="I14" s="45"/>
      <c r="J14" s="342">
        <f t="shared" si="2"/>
        <v>0</v>
      </c>
      <c r="K14" s="1" t="str">
        <f t="shared" si="3"/>
        <v>---</v>
      </c>
      <c r="L14" s="70"/>
      <c r="M14" s="1"/>
      <c r="N14" s="1"/>
      <c r="O14" s="1"/>
      <c r="Q14">
        <f t="shared" si="4"/>
        <v>1</v>
      </c>
      <c r="R14" s="307">
        <f t="shared" si="5"/>
        <v>0</v>
      </c>
      <c r="S14">
        <f t="shared" si="1"/>
        <v>0</v>
      </c>
    </row>
    <row r="15" spans="1:41">
      <c r="A15" s="40">
        <f>'Исходные данные'!B14</f>
        <v>0</v>
      </c>
      <c r="B15" s="40">
        <f>'Исходные данные'!C14</f>
        <v>0</v>
      </c>
      <c r="C15" s="40">
        <f>'Исходные данные'!D14</f>
        <v>0</v>
      </c>
      <c r="D15" s="4"/>
      <c r="E15" s="7" t="str">
        <f>IF('Исходные данные'!M14=1,IF('Исходные данные'!B14&lt;400000,'Исходные данные'!G14+40,IF('Исходные данные'!S14=212,'Исходные данные'!G14+80,'Исходные данные'!G14+40)),"---")</f>
        <v>---</v>
      </c>
      <c r="F15" s="7" t="str">
        <f>IF('Исходные данные'!M14=1,IF('Исходные данные'!S14=212,165,171.4),"---")</f>
        <v>---</v>
      </c>
      <c r="G15" s="149">
        <f>'Исходные данные'!H14*4</f>
        <v>0</v>
      </c>
      <c r="H15" s="31" t="str">
        <f>IF('Исходные данные'!L14=1,"ОЦ",IF('Исходные данные'!L14=2,"нерж",IF('Исходные данные'!L14=3,"ОЦ",IF('Исходные данные'!L14=4,"ОЦ 0,7 краш","---"))))</f>
        <v>---</v>
      </c>
      <c r="I15" s="45"/>
      <c r="J15" s="342">
        <f t="shared" si="2"/>
        <v>0</v>
      </c>
      <c r="K15" s="1" t="str">
        <f t="shared" si="3"/>
        <v>---</v>
      </c>
      <c r="L15" s="70"/>
      <c r="M15" s="1"/>
      <c r="N15" s="1"/>
      <c r="O15" s="1"/>
      <c r="Q15">
        <f t="shared" si="4"/>
        <v>1</v>
      </c>
      <c r="R15" s="307">
        <f t="shared" si="5"/>
        <v>0</v>
      </c>
      <c r="S15">
        <f t="shared" si="1"/>
        <v>0</v>
      </c>
    </row>
    <row r="16" spans="1:41">
      <c r="A16" s="40">
        <f>'Исходные данные'!B15</f>
        <v>0</v>
      </c>
      <c r="B16" s="40">
        <f>'Исходные данные'!C15</f>
        <v>0</v>
      </c>
      <c r="C16" s="40">
        <f>'Исходные данные'!D15</f>
        <v>0</v>
      </c>
      <c r="D16" s="4"/>
      <c r="E16" s="7" t="str">
        <f>IF('Исходные данные'!M15=1,IF('Исходные данные'!B15&lt;400000,'Исходные данные'!G15+40,IF('Исходные данные'!S15=212,'Исходные данные'!G15+80,'Исходные данные'!G15+40)),"---")</f>
        <v>---</v>
      </c>
      <c r="F16" s="7" t="str">
        <f>IF('Исходные данные'!M15=1,IF('Исходные данные'!S15=212,165,171.4),"---")</f>
        <v>---</v>
      </c>
      <c r="G16" s="149">
        <f>'Исходные данные'!H15*4</f>
        <v>0</v>
      </c>
      <c r="H16" s="31" t="str">
        <f>IF('Исходные данные'!L15=1,"ОЦ",IF('Исходные данные'!L15=2,"нерж",IF('Исходные данные'!L15=3,"ОЦ",IF('Исходные данные'!L15=4,"ОЦ 0,7 краш","---"))))</f>
        <v>---</v>
      </c>
      <c r="I16" s="45"/>
      <c r="J16" s="342">
        <f t="shared" si="2"/>
        <v>0</v>
      </c>
      <c r="K16" s="1" t="str">
        <f t="shared" si="3"/>
        <v>---</v>
      </c>
      <c r="L16" s="70"/>
      <c r="M16" s="1"/>
      <c r="N16" s="1"/>
      <c r="O16" s="1"/>
      <c r="Q16">
        <f t="shared" si="4"/>
        <v>1</v>
      </c>
      <c r="R16" s="307">
        <f t="shared" si="5"/>
        <v>0</v>
      </c>
      <c r="S16">
        <f t="shared" si="1"/>
        <v>0</v>
      </c>
    </row>
    <row r="17" spans="1:19">
      <c r="A17" s="40">
        <f>'Исходные данные'!B16</f>
        <v>0</v>
      </c>
      <c r="B17" s="40">
        <f>'Исходные данные'!C16</f>
        <v>0</v>
      </c>
      <c r="C17" s="40">
        <f>'Исходные данные'!D16</f>
        <v>0</v>
      </c>
      <c r="D17" s="4"/>
      <c r="E17" s="7" t="str">
        <f>IF('Исходные данные'!M16=1,IF('Исходные данные'!B16&lt;400000,'Исходные данные'!G16+40,IF('Исходные данные'!S16=212,'Исходные данные'!G16+80,'Исходные данные'!G16+40)),"---")</f>
        <v>---</v>
      </c>
      <c r="F17" s="7" t="str">
        <f>IF('Исходные данные'!M16=1,IF('Исходные данные'!S16=212,165,171.4),"---")</f>
        <v>---</v>
      </c>
      <c r="G17" s="149">
        <f>'Исходные данные'!H16*4</f>
        <v>0</v>
      </c>
      <c r="H17" s="31" t="str">
        <f>IF('Исходные данные'!L16=1,"ОЦ",IF('Исходные данные'!L16=2,"нерж",IF('Исходные данные'!L16=3,"ОЦ",IF('Исходные данные'!L16=4,"ОЦ 0,7 краш","---"))))</f>
        <v>---</v>
      </c>
      <c r="I17" s="45"/>
      <c r="J17" s="342">
        <f t="shared" si="2"/>
        <v>0</v>
      </c>
      <c r="K17" s="1" t="str">
        <f t="shared" si="3"/>
        <v>---</v>
      </c>
      <c r="L17" s="70"/>
      <c r="M17" s="1"/>
      <c r="N17" s="1"/>
      <c r="O17" s="1"/>
      <c r="Q17">
        <f t="shared" si="4"/>
        <v>1</v>
      </c>
      <c r="R17" s="307">
        <f t="shared" si="5"/>
        <v>0</v>
      </c>
      <c r="S17">
        <f t="shared" si="1"/>
        <v>0</v>
      </c>
    </row>
    <row r="18" spans="1:19">
      <c r="A18" s="40">
        <f>'Исходные данные'!B17</f>
        <v>0</v>
      </c>
      <c r="B18" s="40">
        <f>'Исходные данные'!C17</f>
        <v>0</v>
      </c>
      <c r="C18" s="40">
        <f>'Исходные данные'!D17</f>
        <v>0</v>
      </c>
      <c r="D18" s="4"/>
      <c r="E18" s="7" t="str">
        <f>IF('Исходные данные'!M17=1,IF('Исходные данные'!B17&lt;400000,'Исходные данные'!G17+40,IF('Исходные данные'!S17=212,'Исходные данные'!G17+80,'Исходные данные'!G17+40)),"---")</f>
        <v>---</v>
      </c>
      <c r="F18" s="7" t="str">
        <f>IF('Исходные данные'!M17=1,IF('Исходные данные'!S17=212,165,171.4),"---")</f>
        <v>---</v>
      </c>
      <c r="G18" s="149">
        <f>'Исходные данные'!H17*4</f>
        <v>0</v>
      </c>
      <c r="H18" s="31" t="str">
        <f>IF('Исходные данные'!L17=1,"ОЦ",IF('Исходные данные'!L17=2,"нерж",IF('Исходные данные'!L17=3,"ОЦ",IF('Исходные данные'!L17=4,"ОЦ 0,7 краш","---"))))</f>
        <v>---</v>
      </c>
      <c r="I18" s="45"/>
      <c r="J18" s="342">
        <f t="shared" si="2"/>
        <v>0</v>
      </c>
      <c r="K18" s="1" t="str">
        <f t="shared" si="3"/>
        <v>---</v>
      </c>
      <c r="L18" s="70"/>
      <c r="M18" s="1"/>
      <c r="N18" s="1"/>
      <c r="O18" s="1"/>
      <c r="Q18">
        <f t="shared" si="4"/>
        <v>1</v>
      </c>
      <c r="R18" s="307">
        <f t="shared" si="5"/>
        <v>0</v>
      </c>
      <c r="S18">
        <f t="shared" si="1"/>
        <v>0</v>
      </c>
    </row>
    <row r="19" spans="1:19">
      <c r="A19" s="40">
        <f>'Исходные данные'!B18</f>
        <v>0</v>
      </c>
      <c r="B19" s="40">
        <f>'Исходные данные'!C18</f>
        <v>0</v>
      </c>
      <c r="C19" s="40">
        <f>'Исходные данные'!D18</f>
        <v>0</v>
      </c>
      <c r="D19" s="4"/>
      <c r="E19" s="7" t="str">
        <f>IF('Исходные данные'!M18=1,IF('Исходные данные'!B18&lt;400000,'Исходные данные'!G18+40,IF('Исходные данные'!S18=212,'Исходные данные'!G18+80,'Исходные данные'!G18+40)),"---")</f>
        <v>---</v>
      </c>
      <c r="F19" s="7" t="str">
        <f>IF('Исходные данные'!M18=1,IF('Исходные данные'!S18=212,165,171.4),"---")</f>
        <v>---</v>
      </c>
      <c r="G19" s="149">
        <f>'Исходные данные'!H18*4</f>
        <v>0</v>
      </c>
      <c r="H19" s="31" t="str">
        <f>IF('Исходные данные'!L18=1,"ОЦ",IF('Исходные данные'!L18=2,"нерж",IF('Исходные данные'!L18=3,"ОЦ",IF('Исходные данные'!L18=4,"ОЦ 0,7 краш","---"))))</f>
        <v>---</v>
      </c>
      <c r="I19" s="45"/>
      <c r="J19" s="342">
        <f t="shared" si="2"/>
        <v>0</v>
      </c>
      <c r="K19" s="1" t="str">
        <f t="shared" si="3"/>
        <v>---</v>
      </c>
      <c r="L19" s="70"/>
      <c r="M19" s="1"/>
      <c r="N19" s="1"/>
      <c r="O19" s="1"/>
      <c r="Q19">
        <f t="shared" si="4"/>
        <v>1</v>
      </c>
      <c r="R19" s="307">
        <f t="shared" si="5"/>
        <v>0</v>
      </c>
      <c r="S19">
        <f t="shared" si="1"/>
        <v>0</v>
      </c>
    </row>
    <row r="20" spans="1:19">
      <c r="A20" s="40">
        <f>'Исходные данные'!B19</f>
        <v>0</v>
      </c>
      <c r="B20" s="40">
        <f>'Исходные данные'!C19</f>
        <v>0</v>
      </c>
      <c r="C20" s="40">
        <f>'Исходные данные'!D19</f>
        <v>0</v>
      </c>
      <c r="D20" s="4"/>
      <c r="E20" s="7" t="str">
        <f>IF('Исходные данные'!M19=1,IF('Исходные данные'!B19&lt;400000,'Исходные данные'!G19+40,IF('Исходные данные'!S19=212,'Исходные данные'!G19+80,'Исходные данные'!G19+40)),"---")</f>
        <v>---</v>
      </c>
      <c r="F20" s="7" t="str">
        <f>IF('Исходные данные'!M19=1,IF('Исходные данные'!S19=212,165,171.4),"---")</f>
        <v>---</v>
      </c>
      <c r="G20" s="149">
        <f>'Исходные данные'!H19*4</f>
        <v>0</v>
      </c>
      <c r="H20" s="31" t="str">
        <f>IF('Исходные данные'!L19=1,"ОЦ",IF('Исходные данные'!L19=2,"нерж",IF('Исходные данные'!L19=3,"ОЦ",IF('Исходные данные'!L19=4,"ОЦ 0,7 краш","---"))))</f>
        <v>---</v>
      </c>
      <c r="I20" s="45"/>
      <c r="J20" s="342">
        <f t="shared" si="2"/>
        <v>0</v>
      </c>
      <c r="K20" s="1" t="str">
        <f t="shared" si="3"/>
        <v>---</v>
      </c>
      <c r="L20" s="70"/>
      <c r="M20" s="1"/>
      <c r="N20" s="1"/>
      <c r="O20" s="1"/>
      <c r="Q20">
        <f t="shared" si="4"/>
        <v>1</v>
      </c>
      <c r="R20" s="307">
        <f t="shared" si="5"/>
        <v>0</v>
      </c>
      <c r="S20">
        <f t="shared" si="1"/>
        <v>0</v>
      </c>
    </row>
    <row r="21" spans="1:19">
      <c r="A21" s="40">
        <f>'Исходные данные'!B20</f>
        <v>0</v>
      </c>
      <c r="B21" s="40">
        <f>'Исходные данные'!C20</f>
        <v>0</v>
      </c>
      <c r="C21" s="40">
        <f>'Исходные данные'!D20</f>
        <v>0</v>
      </c>
      <c r="D21" s="4"/>
      <c r="E21" s="7" t="str">
        <f>IF('Исходные данные'!M20=1,IF('Исходные данные'!B20&lt;400000,'Исходные данные'!G20+40,IF('Исходные данные'!S20=212,'Исходные данные'!G20+80,'Исходные данные'!G20+40)),"---")</f>
        <v>---</v>
      </c>
      <c r="F21" s="7" t="str">
        <f>IF('Исходные данные'!M20=1,IF('Исходные данные'!S20=212,165,171.4),"---")</f>
        <v>---</v>
      </c>
      <c r="G21" s="149">
        <f>'Исходные данные'!H20*4</f>
        <v>0</v>
      </c>
      <c r="H21" s="31" t="str">
        <f>IF('Исходные данные'!L20=1,"ОЦ",IF('Исходные данные'!L20=2,"нерж",IF('Исходные данные'!L20=3,"ОЦ",IF('Исходные данные'!L20=4,"ОЦ 0,7 краш","---"))))</f>
        <v>---</v>
      </c>
      <c r="I21" s="45"/>
      <c r="J21" s="342">
        <f t="shared" si="2"/>
        <v>0</v>
      </c>
      <c r="K21" s="1" t="str">
        <f t="shared" si="3"/>
        <v>---</v>
      </c>
      <c r="L21" s="70"/>
      <c r="M21" s="1"/>
      <c r="N21" s="1"/>
      <c r="O21" s="1"/>
      <c r="Q21">
        <f t="shared" si="4"/>
        <v>1</v>
      </c>
      <c r="R21" s="307">
        <f t="shared" si="5"/>
        <v>0</v>
      </c>
      <c r="S21">
        <f t="shared" si="1"/>
        <v>0</v>
      </c>
    </row>
    <row r="22" spans="1:19">
      <c r="A22" s="40">
        <f>'Исходные данные'!B21</f>
        <v>0</v>
      </c>
      <c r="B22" s="40">
        <f>'Исходные данные'!C21</f>
        <v>0</v>
      </c>
      <c r="C22" s="40">
        <f>'Исходные данные'!D21</f>
        <v>0</v>
      </c>
      <c r="D22" s="4"/>
      <c r="E22" s="7" t="str">
        <f>IF('Исходные данные'!M21=1,IF('Исходные данные'!B21&lt;400000,'Исходные данные'!G21+40,IF('Исходные данные'!S21=212,'Исходные данные'!G21+80,'Исходные данные'!G21+40)),"---")</f>
        <v>---</v>
      </c>
      <c r="F22" s="7" t="str">
        <f>IF('Исходные данные'!M21=1,IF('Исходные данные'!S21=212,165,171.4),"---")</f>
        <v>---</v>
      </c>
      <c r="G22" s="149">
        <f>'Исходные данные'!H21*4</f>
        <v>0</v>
      </c>
      <c r="H22" s="31" t="str">
        <f>IF('Исходные данные'!L21=1,"ОЦ",IF('Исходные данные'!L21=2,"нерж",IF('Исходные данные'!L21=3,"ОЦ",IF('Исходные данные'!L21=4,"ОЦ 0,7 краш","---"))))</f>
        <v>---</v>
      </c>
      <c r="I22" s="45"/>
      <c r="J22" s="342">
        <f t="shared" si="2"/>
        <v>0</v>
      </c>
      <c r="K22" s="1" t="str">
        <f t="shared" si="3"/>
        <v>---</v>
      </c>
      <c r="L22" s="70"/>
      <c r="M22" s="1"/>
      <c r="N22" s="1"/>
      <c r="O22" s="1"/>
      <c r="Q22">
        <f t="shared" si="4"/>
        <v>1</v>
      </c>
      <c r="R22" s="307">
        <f t="shared" si="5"/>
        <v>0</v>
      </c>
      <c r="S22">
        <f t="shared" si="1"/>
        <v>0</v>
      </c>
    </row>
    <row r="23" spans="1:19">
      <c r="A23" s="40">
        <f>'Исходные данные'!B22</f>
        <v>0</v>
      </c>
      <c r="B23" s="40">
        <f>'Исходные данные'!C22</f>
        <v>0</v>
      </c>
      <c r="C23" s="40">
        <f>'Исходные данные'!D22</f>
        <v>0</v>
      </c>
      <c r="D23" s="4"/>
      <c r="E23" s="7" t="str">
        <f>IF('Исходные данные'!M22=1,IF('Исходные данные'!B22&lt;400000,'Исходные данные'!G22+40,IF('Исходные данные'!S22=212,'Исходные данные'!G22+80,'Исходные данные'!G22+40)),"---")</f>
        <v>---</v>
      </c>
      <c r="F23" s="7" t="str">
        <f>IF('Исходные данные'!M22=1,IF('Исходные данные'!S22=212,165,171.4),"---")</f>
        <v>---</v>
      </c>
      <c r="G23" s="149">
        <f>'Исходные данные'!H22*4</f>
        <v>0</v>
      </c>
      <c r="H23" s="31" t="str">
        <f>IF('Исходные данные'!L22=1,"ОЦ",IF('Исходные данные'!L22=2,"нерж",IF('Исходные данные'!L22=3,"ОЦ",IF('Исходные данные'!L22=4,"ОЦ 0,7 краш","---"))))</f>
        <v>---</v>
      </c>
      <c r="I23" s="45"/>
      <c r="J23" s="342">
        <f t="shared" si="2"/>
        <v>0</v>
      </c>
      <c r="K23" s="1" t="str">
        <f t="shared" si="3"/>
        <v>---</v>
      </c>
      <c r="L23" s="70"/>
      <c r="M23" s="1"/>
      <c r="N23" s="1"/>
      <c r="O23" s="1"/>
      <c r="Q23">
        <f t="shared" si="4"/>
        <v>1</v>
      </c>
      <c r="R23" s="307">
        <f t="shared" si="5"/>
        <v>0</v>
      </c>
      <c r="S23">
        <f t="shared" si="1"/>
        <v>0</v>
      </c>
    </row>
    <row r="24" spans="1:19">
      <c r="A24" s="40">
        <f>'Исходные данные'!B23</f>
        <v>0</v>
      </c>
      <c r="B24" s="40">
        <f>'Исходные данные'!C23</f>
        <v>0</v>
      </c>
      <c r="C24" s="40">
        <f>'Исходные данные'!D23</f>
        <v>0</v>
      </c>
      <c r="D24" s="4"/>
      <c r="E24" s="7" t="str">
        <f>IF('Исходные данные'!M23=1,IF('Исходные данные'!B23&lt;400000,'Исходные данные'!G23+40,IF('Исходные данные'!S23=212,'Исходные данные'!G23+80,'Исходные данные'!G23+40)),"---")</f>
        <v>---</v>
      </c>
      <c r="F24" s="7" t="str">
        <f>IF('Исходные данные'!M23=1,IF('Исходные данные'!S23=212,165,171.4),"---")</f>
        <v>---</v>
      </c>
      <c r="G24" s="149">
        <f>'Исходные данные'!H23*4</f>
        <v>0</v>
      </c>
      <c r="H24" s="31" t="str">
        <f>IF('Исходные данные'!L23=1,"ОЦ",IF('Исходные данные'!L23=2,"нерж",IF('Исходные данные'!L23=3,"ОЦ",IF('Исходные данные'!L23=4,"ОЦ 0,7 краш","---"))))</f>
        <v>---</v>
      </c>
      <c r="I24" s="45"/>
      <c r="J24" s="342">
        <f t="shared" si="2"/>
        <v>0</v>
      </c>
      <c r="K24" s="1" t="str">
        <f t="shared" si="3"/>
        <v>---</v>
      </c>
      <c r="L24" s="70"/>
      <c r="M24" s="1"/>
      <c r="N24" s="1"/>
      <c r="O24" s="1"/>
      <c r="Q24">
        <f t="shared" si="4"/>
        <v>1</v>
      </c>
      <c r="R24" s="307">
        <f t="shared" si="5"/>
        <v>0</v>
      </c>
      <c r="S24">
        <f t="shared" si="1"/>
        <v>0</v>
      </c>
    </row>
    <row r="25" spans="1:19">
      <c r="A25" s="40">
        <f>'Исходные данные'!B24</f>
        <v>0</v>
      </c>
      <c r="B25" s="40">
        <f>'Исходные данные'!C24</f>
        <v>0</v>
      </c>
      <c r="C25" s="40">
        <f>'Исходные данные'!D24</f>
        <v>0</v>
      </c>
      <c r="D25" s="4"/>
      <c r="E25" s="7" t="str">
        <f>IF('Исходные данные'!M24=1,IF('Исходные данные'!B24&lt;400000,'Исходные данные'!G24+40,IF('Исходные данные'!S24=212,'Исходные данные'!G24+80,'Исходные данные'!G24+40)),"---")</f>
        <v>---</v>
      </c>
      <c r="F25" s="7" t="str">
        <f>IF('Исходные данные'!M24=1,IF('Исходные данные'!S24=212,165,171.4),"---")</f>
        <v>---</v>
      </c>
      <c r="G25" s="149">
        <f>'Исходные данные'!H24*4</f>
        <v>0</v>
      </c>
      <c r="H25" s="31" t="str">
        <f>IF('Исходные данные'!L24=1,"ОЦ",IF('Исходные данные'!L24=2,"нерж",IF('Исходные данные'!L24=3,"ОЦ",IF('Исходные данные'!L24=4,"ОЦ 0,7 краш","---"))))</f>
        <v>---</v>
      </c>
      <c r="I25" s="45"/>
      <c r="J25" s="342">
        <f t="shared" si="2"/>
        <v>0</v>
      </c>
      <c r="K25" s="1" t="str">
        <f t="shared" si="3"/>
        <v>---</v>
      </c>
      <c r="L25" s="70"/>
      <c r="M25" s="1"/>
      <c r="N25" s="1"/>
      <c r="O25" s="1"/>
      <c r="Q25">
        <f t="shared" si="4"/>
        <v>1</v>
      </c>
      <c r="R25" s="307">
        <f t="shared" si="5"/>
        <v>0</v>
      </c>
      <c r="S25">
        <f t="shared" si="1"/>
        <v>0</v>
      </c>
    </row>
    <row r="26" spans="1:19">
      <c r="A26" s="40">
        <f>'Исходные данные'!B25</f>
        <v>0</v>
      </c>
      <c r="B26" s="40">
        <f>'Исходные данные'!C25</f>
        <v>0</v>
      </c>
      <c r="C26" s="40">
        <f>'Исходные данные'!D25</f>
        <v>0</v>
      </c>
      <c r="D26" s="4"/>
      <c r="E26" s="7" t="str">
        <f>IF('Исходные данные'!M25=1,IF('Исходные данные'!B25&lt;400000,'Исходные данные'!G25+40,IF('Исходные данные'!S25=212,'Исходные данные'!G25+80,'Исходные данные'!G25+40)),"---")</f>
        <v>---</v>
      </c>
      <c r="F26" s="7" t="str">
        <f>IF('Исходные данные'!M25=1,IF('Исходные данные'!S25=212,165,171.4),"---")</f>
        <v>---</v>
      </c>
      <c r="G26" s="149">
        <f>'Исходные данные'!H25*4</f>
        <v>0</v>
      </c>
      <c r="H26" s="31" t="str">
        <f>IF('Исходные данные'!L25=1,"ОЦ",IF('Исходные данные'!L25=2,"нерж",IF('Исходные данные'!L25=3,"ОЦ",IF('Исходные данные'!L25=4,"ОЦ 0,7 краш","---"))))</f>
        <v>---</v>
      </c>
      <c r="I26" s="45"/>
      <c r="J26" s="342">
        <f t="shared" si="2"/>
        <v>0</v>
      </c>
      <c r="K26" s="1" t="str">
        <f t="shared" si="3"/>
        <v>---</v>
      </c>
      <c r="L26" s="70"/>
      <c r="M26" s="1"/>
      <c r="N26" s="1"/>
      <c r="O26" s="1"/>
      <c r="Q26">
        <f t="shared" si="4"/>
        <v>1</v>
      </c>
      <c r="R26" s="307">
        <f t="shared" si="5"/>
        <v>0</v>
      </c>
      <c r="S26">
        <f t="shared" si="1"/>
        <v>0</v>
      </c>
    </row>
    <row r="27" spans="1:19">
      <c r="A27" s="40">
        <f>'Исходные данные'!B26</f>
        <v>0</v>
      </c>
      <c r="B27" s="40">
        <f>'Исходные данные'!C26</f>
        <v>0</v>
      </c>
      <c r="C27" s="40">
        <f>'Исходные данные'!D26</f>
        <v>0</v>
      </c>
      <c r="D27" s="4"/>
      <c r="E27" s="7" t="str">
        <f>IF('Исходные данные'!M26=1,IF('Исходные данные'!B26&lt;400000,'Исходные данные'!G26+40,IF('Исходные данные'!S26=212,'Исходные данные'!G26+80,'Исходные данные'!G26+40)),"---")</f>
        <v>---</v>
      </c>
      <c r="F27" s="7" t="str">
        <f>IF('Исходные данные'!M26=1,IF('Исходные данные'!S26=212,165,171.4),"---")</f>
        <v>---</v>
      </c>
      <c r="G27" s="149">
        <f>'Исходные данные'!H26*4</f>
        <v>0</v>
      </c>
      <c r="H27" s="31" t="str">
        <f>IF('Исходные данные'!L26=1,"ОЦ",IF('Исходные данные'!L26=2,"нерж",IF('Исходные данные'!L26=3,"ОЦ",IF('Исходные данные'!L26=4,"ОЦ 0,7 краш","---"))))</f>
        <v>---</v>
      </c>
      <c r="I27" s="45"/>
      <c r="J27" s="342">
        <f t="shared" si="2"/>
        <v>0</v>
      </c>
      <c r="K27" s="1" t="str">
        <f t="shared" si="3"/>
        <v>---</v>
      </c>
      <c r="L27" s="70"/>
      <c r="M27" s="1"/>
      <c r="N27" s="1"/>
      <c r="O27" s="1"/>
      <c r="Q27">
        <f t="shared" si="4"/>
        <v>1</v>
      </c>
      <c r="R27" s="307">
        <f t="shared" si="5"/>
        <v>0</v>
      </c>
      <c r="S27">
        <f t="shared" si="1"/>
        <v>0</v>
      </c>
    </row>
    <row r="28" spans="1:19">
      <c r="A28" t="s">
        <v>57</v>
      </c>
      <c r="B28" s="427" t="s">
        <v>42</v>
      </c>
      <c r="C28" s="427"/>
      <c r="D28" s="427"/>
      <c r="E28" s="427"/>
      <c r="F28" s="427"/>
      <c r="G28">
        <f>SUM(I7:I27)</f>
        <v>0</v>
      </c>
      <c r="L28" s="72"/>
      <c r="M28" s="72"/>
      <c r="N28" s="72"/>
      <c r="O28" s="72"/>
      <c r="R28" s="307"/>
    </row>
    <row r="30" spans="1:19">
      <c r="A30" t="s">
        <v>59</v>
      </c>
      <c r="B30" s="50"/>
      <c r="C30" s="50"/>
      <c r="D30" s="50"/>
      <c r="E30" s="50"/>
      <c r="F30" s="50"/>
      <c r="G30">
        <f>SUM(J7:J27)</f>
        <v>0</v>
      </c>
    </row>
    <row r="32" spans="1:19" ht="18.75">
      <c r="A32" s="21" t="str">
        <f>'Труматик гермики'!B33</f>
        <v>Срок</v>
      </c>
      <c r="B32" s="457">
        <f>'Исходные данные'!F29</f>
        <v>0</v>
      </c>
      <c r="C32" s="457"/>
    </row>
    <row r="33" spans="1:12" ht="18.75">
      <c r="A33" s="21"/>
      <c r="B33" s="46"/>
      <c r="C33" s="46"/>
    </row>
    <row r="34" spans="1:12">
      <c r="A34" t="str">
        <f>'Труматик гермики'!B35</f>
        <v>Мастер_______________________________</v>
      </c>
    </row>
    <row r="35" spans="1:12" ht="21">
      <c r="A35" s="47" t="s">
        <v>207</v>
      </c>
      <c r="B35" s="48"/>
      <c r="C35" s="48"/>
      <c r="D35" s="48"/>
      <c r="E35" s="48"/>
      <c r="F35" s="48"/>
      <c r="G35" s="48"/>
      <c r="H35" s="448" t="s">
        <v>36</v>
      </c>
      <c r="I35" s="448"/>
      <c r="J35" s="49"/>
      <c r="K35" s="47"/>
      <c r="L35" s="47"/>
    </row>
    <row r="36" spans="1:12" ht="18.75">
      <c r="A36" s="47"/>
      <c r="B36" s="49" t="s">
        <v>84</v>
      </c>
      <c r="C36" s="49"/>
      <c r="D36" s="49"/>
      <c r="E36" s="49"/>
      <c r="F36" s="49"/>
      <c r="G36" s="49">
        <f>'Исходные данные'!F4</f>
        <v>0</v>
      </c>
      <c r="H36" s="47"/>
      <c r="I36" s="47"/>
      <c r="J36" t="s">
        <v>216</v>
      </c>
      <c r="K36" s="47"/>
      <c r="L36" s="47"/>
    </row>
    <row r="37" spans="1:12">
      <c r="A37" s="47"/>
      <c r="B37" s="47" t="s">
        <v>85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>
      <c r="A38" s="47"/>
      <c r="B38" s="47" t="s">
        <v>78</v>
      </c>
      <c r="C38" s="47" t="s">
        <v>86</v>
      </c>
      <c r="D38" s="47"/>
      <c r="E38" s="47"/>
      <c r="F38" s="47"/>
      <c r="G38" s="47" t="s">
        <v>213</v>
      </c>
      <c r="H38" s="47"/>
      <c r="I38" s="47"/>
      <c r="J38" s="47"/>
      <c r="K38" s="47"/>
      <c r="L38" s="47"/>
    </row>
    <row r="39" spans="1:1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>
      <c r="A40" s="47"/>
      <c r="B40" s="47" t="s">
        <v>87</v>
      </c>
      <c r="C40" s="47"/>
      <c r="D40" s="47"/>
      <c r="E40" s="47"/>
      <c r="F40" s="47"/>
      <c r="G40" s="47" t="s">
        <v>213</v>
      </c>
      <c r="H40" s="47"/>
      <c r="I40" s="47"/>
      <c r="J40" s="47"/>
      <c r="K40" s="47"/>
      <c r="L40" s="47"/>
    </row>
    <row r="41" spans="1:1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1:12">
      <c r="A42" s="47"/>
      <c r="B42" s="47" t="s">
        <v>88</v>
      </c>
      <c r="C42" s="47"/>
      <c r="D42" s="47"/>
      <c r="E42" s="47"/>
      <c r="F42" s="47"/>
      <c r="G42" s="47" t="s">
        <v>213</v>
      </c>
      <c r="H42" s="47"/>
      <c r="I42" s="47"/>
      <c r="J42" s="47"/>
      <c r="K42" s="47"/>
      <c r="L42" s="47"/>
    </row>
    <row r="43" spans="1:1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</row>
  </sheetData>
  <mergeCells count="20">
    <mergeCell ref="H35:I35"/>
    <mergeCell ref="N5:N6"/>
    <mergeCell ref="O5:O6"/>
    <mergeCell ref="L5:L6"/>
    <mergeCell ref="M5:M6"/>
    <mergeCell ref="K5:K6"/>
    <mergeCell ref="H5:H6"/>
    <mergeCell ref="V5:AA5"/>
    <mergeCell ref="AB5:AG5"/>
    <mergeCell ref="A2:J2"/>
    <mergeCell ref="B32:C32"/>
    <mergeCell ref="B28:F28"/>
    <mergeCell ref="A5:A6"/>
    <mergeCell ref="D5:G5"/>
    <mergeCell ref="D6:E6"/>
    <mergeCell ref="A3:G3"/>
    <mergeCell ref="B5:C6"/>
    <mergeCell ref="A4:B4"/>
    <mergeCell ref="C4:D4"/>
    <mergeCell ref="I5:J5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6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47"/>
  <sheetViews>
    <sheetView zoomScale="80" zoomScaleNormal="80" workbookViewId="0">
      <selection activeCell="I49" sqref="I49"/>
    </sheetView>
  </sheetViews>
  <sheetFormatPr defaultRowHeight="15"/>
  <cols>
    <col min="1" max="1" width="5.7109375" customWidth="1"/>
    <col min="2" max="2" width="5.28515625" customWidth="1"/>
    <col min="3" max="3" width="8.140625" customWidth="1"/>
    <col min="4" max="4" width="6.42578125" customWidth="1"/>
    <col min="5" max="5" width="10.28515625" customWidth="1"/>
    <col min="6" max="6" width="10.42578125" customWidth="1"/>
    <col min="7" max="7" width="5.28515625" customWidth="1"/>
    <col min="8" max="8" width="7.42578125" customWidth="1"/>
    <col min="9" max="9" width="16.140625" customWidth="1"/>
    <col min="10" max="10" width="8.42578125" customWidth="1"/>
    <col min="11" max="11" width="10.5703125" customWidth="1"/>
    <col min="12" max="12" width="11" customWidth="1"/>
    <col min="13" max="13" width="14.7109375" customWidth="1"/>
    <col min="14" max="14" width="17.7109375" customWidth="1"/>
    <col min="15" max="15" width="6" style="102" customWidth="1"/>
    <col min="16" max="16" width="2.140625" style="106" customWidth="1"/>
    <col min="17" max="17" width="3.5703125" style="106" customWidth="1"/>
    <col min="18" max="18" width="6.5703125" style="102" customWidth="1"/>
    <col min="19" max="19" width="9.28515625" style="396" customWidth="1"/>
    <col min="20" max="21" width="9.85546875" style="396" customWidth="1"/>
    <col min="22" max="22" width="12.28515625" style="396" customWidth="1"/>
    <col min="23" max="23" width="12" customWidth="1"/>
    <col min="24" max="24" width="9.7109375" customWidth="1"/>
    <col min="25" max="25" width="11.5703125" customWidth="1"/>
    <col min="27" max="27" width="0" hidden="1" customWidth="1"/>
    <col min="28" max="28" width="7.140625" hidden="1" customWidth="1"/>
    <col min="29" max="29" width="7.42578125" hidden="1" customWidth="1"/>
    <col min="30" max="30" width="0" hidden="1" customWidth="1"/>
    <col min="35" max="35" width="14" customWidth="1"/>
    <col min="41" max="42" width="10.5703125" customWidth="1"/>
    <col min="43" max="43" width="13.140625" customWidth="1"/>
    <col min="44" max="44" width="14.7109375" customWidth="1"/>
    <col min="54" max="54" width="11.7109375" customWidth="1"/>
    <col min="56" max="56" width="11.140625" customWidth="1"/>
  </cols>
  <sheetData>
    <row r="1" spans="2:56" ht="42" customHeight="1">
      <c r="O1" s="123"/>
      <c r="P1" s="123"/>
      <c r="Q1" s="123"/>
      <c r="R1" s="123"/>
    </row>
    <row r="2" spans="2:56">
      <c r="O2" s="123"/>
      <c r="P2" s="123"/>
      <c r="Q2" s="123"/>
      <c r="R2" s="123"/>
    </row>
    <row r="3" spans="2:56">
      <c r="C3" s="483" t="s">
        <v>304</v>
      </c>
    </row>
    <row r="4" spans="2:56" ht="26.25">
      <c r="C4" s="483"/>
      <c r="E4" s="491" t="s">
        <v>303</v>
      </c>
      <c r="F4" s="491"/>
      <c r="G4" s="491"/>
      <c r="H4" s="491"/>
      <c r="I4" s="491"/>
      <c r="J4" s="491"/>
      <c r="K4" s="491"/>
      <c r="L4" s="491"/>
    </row>
    <row r="5" spans="2:56" ht="18.75">
      <c r="C5" s="483"/>
      <c r="E5" s="434"/>
      <c r="F5" s="434"/>
      <c r="G5" s="434"/>
      <c r="H5" s="434"/>
      <c r="I5" s="434"/>
      <c r="J5" s="434"/>
      <c r="K5" s="434"/>
      <c r="L5" s="434"/>
      <c r="AA5" s="463">
        <f>'Исходные данные'!F4</f>
        <v>0</v>
      </c>
    </row>
    <row r="6" spans="2:56" ht="30.75" customHeight="1" thickBot="1">
      <c r="C6" s="483"/>
      <c r="E6" s="466" t="s">
        <v>288</v>
      </c>
      <c r="F6" s="466"/>
      <c r="G6" s="466"/>
      <c r="H6" s="466"/>
      <c r="I6" s="466"/>
      <c r="J6" s="466"/>
      <c r="K6" s="37"/>
      <c r="M6" s="146">
        <f>'Исходные данные'!F4</f>
        <v>0</v>
      </c>
      <c r="N6" s="146"/>
      <c r="AA6" s="463"/>
    </row>
    <row r="7" spans="2:56" ht="53.25" customHeight="1">
      <c r="C7" s="483"/>
      <c r="D7" s="483" t="s">
        <v>289</v>
      </c>
      <c r="E7" s="486" t="s">
        <v>10</v>
      </c>
      <c r="F7" s="492" t="s">
        <v>0</v>
      </c>
      <c r="G7" s="451"/>
      <c r="H7" s="488" t="s">
        <v>16</v>
      </c>
      <c r="I7" s="453"/>
      <c r="J7" s="453"/>
      <c r="K7" s="131" t="s">
        <v>19</v>
      </c>
      <c r="L7" s="131" t="s">
        <v>26</v>
      </c>
      <c r="M7" s="469" t="s">
        <v>38</v>
      </c>
      <c r="N7" s="467" t="s">
        <v>386</v>
      </c>
      <c r="O7" s="471" t="s">
        <v>296</v>
      </c>
      <c r="P7" s="472"/>
      <c r="Q7" s="472"/>
      <c r="R7" s="473"/>
      <c r="S7" s="474" t="s">
        <v>385</v>
      </c>
      <c r="T7" s="475"/>
      <c r="U7" s="478" t="s">
        <v>389</v>
      </c>
      <c r="V7" s="476" t="s">
        <v>383</v>
      </c>
      <c r="W7" s="476" t="s">
        <v>220</v>
      </c>
      <c r="X7" s="467" t="s">
        <v>217</v>
      </c>
      <c r="Y7" s="476" t="s">
        <v>219</v>
      </c>
      <c r="Z7" s="495" t="s">
        <v>217</v>
      </c>
      <c r="AA7" s="485" t="s">
        <v>284</v>
      </c>
      <c r="AB7" s="464" t="s">
        <v>291</v>
      </c>
      <c r="AC7" s="464" t="s">
        <v>292</v>
      </c>
    </row>
    <row r="8" spans="2:56" ht="55.5" customHeight="1" thickBot="1">
      <c r="C8" s="483"/>
      <c r="D8" s="483"/>
      <c r="E8" s="487"/>
      <c r="F8" s="493"/>
      <c r="G8" s="494"/>
      <c r="H8" s="489" t="s">
        <v>11</v>
      </c>
      <c r="I8" s="490"/>
      <c r="J8" s="132" t="s">
        <v>6</v>
      </c>
      <c r="K8" s="133" t="s">
        <v>22</v>
      </c>
      <c r="L8" s="133" t="s">
        <v>22</v>
      </c>
      <c r="M8" s="470"/>
      <c r="N8" s="480"/>
      <c r="O8" s="134" t="s">
        <v>7</v>
      </c>
      <c r="P8" s="134" t="s">
        <v>294</v>
      </c>
      <c r="Q8" s="134" t="s">
        <v>31</v>
      </c>
      <c r="R8" s="145" t="s">
        <v>5</v>
      </c>
      <c r="S8" s="399" t="s">
        <v>12</v>
      </c>
      <c r="T8" s="399" t="s">
        <v>11</v>
      </c>
      <c r="U8" s="479"/>
      <c r="V8" s="477"/>
      <c r="W8" s="477"/>
      <c r="X8" s="468"/>
      <c r="Y8" s="477"/>
      <c r="Z8" s="496"/>
      <c r="AA8" s="485"/>
      <c r="AB8" s="464"/>
      <c r="AC8" s="464"/>
      <c r="AI8" s="4" t="s">
        <v>387</v>
      </c>
      <c r="AJ8" s="224" t="s">
        <v>388</v>
      </c>
      <c r="AK8" s="224" t="s">
        <v>5</v>
      </c>
      <c r="AM8" s="4" t="s">
        <v>391</v>
      </c>
      <c r="AN8" s="4" t="s">
        <v>397</v>
      </c>
      <c r="AO8" s="4" t="s">
        <v>390</v>
      </c>
      <c r="AP8" s="4" t="s">
        <v>392</v>
      </c>
      <c r="AQ8" s="4" t="s">
        <v>398</v>
      </c>
      <c r="AR8" s="4" t="s">
        <v>393</v>
      </c>
      <c r="BA8" s="415" t="s">
        <v>7</v>
      </c>
      <c r="BB8" s="415" t="s">
        <v>399</v>
      </c>
      <c r="BD8" s="3" t="s">
        <v>400</v>
      </c>
    </row>
    <row r="9" spans="2:56" ht="40.5" customHeight="1" thickBot="1">
      <c r="B9" s="387">
        <f>'Исходные данные'!F4</f>
        <v>0</v>
      </c>
      <c r="C9" s="483"/>
      <c r="D9" s="483"/>
      <c r="E9" s="135">
        <f>'Исходные данные'!B6</f>
        <v>0</v>
      </c>
      <c r="F9" s="109">
        <f>'Исходные данные'!C6</f>
        <v>0</v>
      </c>
      <c r="G9" s="109">
        <f>'Исходные данные'!D6</f>
        <v>0</v>
      </c>
      <c r="H9" s="109" t="s">
        <v>7</v>
      </c>
      <c r="I9" s="129">
        <f>IF('Исходные данные'!M6=1,'Исходные данные'!F6-1.5,IF('Исходные данные'!M6=2,'Исходные данные'!F6-1.5,IF('Исходные данные'!M6=3,'Исходные данные'!F6-1.5,IF('Исходные данные'!M6=4,"---",0))))</f>
        <v>0</v>
      </c>
      <c r="J9" s="130" t="str">
        <f>IF('Исходные данные'!M6=1,'Исходные данные'!H6*2,IF('Исходные данные'!M6=2,'Исходные данные'!H6*2,IF('Исходные данные'!M6=3,'Исходные данные'!H6*2,IF('Исходные данные'!M6=4,'Исходные данные'!H6*2,"---"))))</f>
        <v>---</v>
      </c>
      <c r="K9" s="109" t="str">
        <f>'Труматик гермики'!O7</f>
        <v>---</v>
      </c>
      <c r="L9" s="384">
        <f>IF(I9&gt;0,('Исходные данные'!F6-1.5-('Труматик гермики'!R7-1)*150)/2,0)</f>
        <v>0</v>
      </c>
      <c r="M9" s="79" t="str">
        <f>IF('Исходные данные'!L6=1,"сталь 65Г",IF('Исходные данные'!L6=2,"сталь 65Г",IF('Исходные данные'!L6=3,"бронза",IF('Исходные данные'!L6=4,"сталь 65Г","---"))))</f>
        <v>---</v>
      </c>
      <c r="N9" s="79">
        <f>IF(M9="бронза",(('Исходные данные'!F6-1.5)*J9)+20,0)</f>
        <v>0</v>
      </c>
      <c r="O9" s="109" t="str">
        <f>IF('Исходные данные'!V6=2,'Исходные данные'!F6+60,"---")</f>
        <v>---</v>
      </c>
      <c r="P9" s="109" t="s">
        <v>294</v>
      </c>
      <c r="Q9" s="109">
        <f>IF('Исходные данные'!V6=0,0,IF('Исходные данные'!M6=2,60,60))</f>
        <v>0</v>
      </c>
      <c r="R9" s="109">
        <f>IF('Исходные данные'!V6=2,'Исходные данные'!H6*1,0)</f>
        <v>0</v>
      </c>
      <c r="S9" s="398">
        <f>IF('Исходные данные'!L6=3,'Ножницы упор'!F7,0)</f>
        <v>0</v>
      </c>
      <c r="T9" s="398">
        <f>IF('Исходные данные'!L6=3,AI9,0)</f>
        <v>0</v>
      </c>
      <c r="U9" s="398">
        <f>IF('Исходные данные'!L6=3,AK9,0)</f>
        <v>0</v>
      </c>
      <c r="V9" s="401">
        <f>((S9*T9*1.5)*8.43/1000000)*U9</f>
        <v>0</v>
      </c>
      <c r="W9" s="109"/>
      <c r="X9" s="79"/>
      <c r="Y9" s="79"/>
      <c r="Z9" s="136"/>
      <c r="AA9" s="485"/>
      <c r="AB9" s="464"/>
      <c r="AC9" s="464"/>
      <c r="AE9" t="str">
        <f>IFERROR(((('Исходные данные'!F6-2)-(('Труматик гермики'!R7-1)*'Задание Ножницы лента'!K9))/2),"---")</f>
        <v>---</v>
      </c>
      <c r="AG9">
        <f>IF('Исходные данные'!F6&lt;=500,0.008*2,IF('Исходные данные'!F6&lt;=1000,0.014*2,IF('Исходные данные'!F6&lt;=1500,0.022*2,IF('Исходные данные'!F6&lt;=2000,0.033*2,IF('Исходные данные'!F6&lt;=2500,0.048*2,)))))</f>
        <v>1.6E-2</v>
      </c>
      <c r="AH9">
        <f t="shared" ref="AH9:AH29" si="0">IF(R9&gt;1,AG9,0)</f>
        <v>0</v>
      </c>
      <c r="AI9" s="1">
        <f>IF(AJ9&gt;1500,AJ9/2,AJ9)</f>
        <v>-5.5</v>
      </c>
      <c r="AJ9" s="1">
        <f>'Исходные данные'!G6-5.5</f>
        <v>-5.5</v>
      </c>
      <c r="AK9" s="1">
        <f>IF(AJ9&gt;1500,'Исходные данные'!H6*2*2,'Исходные данные'!H6*2)</f>
        <v>0</v>
      </c>
      <c r="AM9" s="1">
        <f>IF(I9=0,0,IF(I9&lt;=1000,0.017,IF(I9&lt;=2000,0.022,IF(I9&gt;2000,0.028,0))))</f>
        <v>0</v>
      </c>
      <c r="AN9" s="1">
        <f>IF(I9&gt;0,AM9,0)</f>
        <v>0</v>
      </c>
      <c r="AO9" s="1">
        <f>IF(I9&gt;0,0.011*'Труматик гермики'!R7*2,0)</f>
        <v>0</v>
      </c>
      <c r="AP9" s="1">
        <f>IF(S9&gt;0,U9*0.006,0)</f>
        <v>0</v>
      </c>
      <c r="AQ9" s="1">
        <f>IF(I9=0,0,IF(I9&lt;=500,0.01*J9,IF(I9&lt;=1000,0.01*J9,IF(I9&lt;=1500,0.01*J9,IF(I9&lt;=2000,0.015*J9,IF(I9&lt;=2500,0.015*J9,0))))))</f>
        <v>0</v>
      </c>
      <c r="AR9" s="1">
        <f>IF(I9&gt;0,AQ9,0)</f>
        <v>0</v>
      </c>
      <c r="AT9" s="360"/>
      <c r="AU9" s="360">
        <v>500</v>
      </c>
      <c r="AV9" s="360">
        <v>1000</v>
      </c>
      <c r="AW9" s="360">
        <v>1500</v>
      </c>
      <c r="AX9" s="360">
        <v>2000</v>
      </c>
      <c r="AY9" s="360">
        <v>2500</v>
      </c>
      <c r="BA9">
        <f>IF(T9=0,0,IF(T9&lt;=500,1,IF(T9&lt;=1000,2,IF(T9&lt;=1500,3,IF(T9&lt;=2000,4,IF(T9&lt;=2500,5,0))))))</f>
        <v>0</v>
      </c>
      <c r="BB9">
        <f>IF(S9=0,0,IF(S9&lt;=200,6,IF(S9&lt;=500,7,IF(S9&lt;=1250,8,0))))</f>
        <v>0</v>
      </c>
      <c r="BC9">
        <f>IF(AND(BA9=1,BB9=6),0.008,IF(AND(BA9=2,BB9=6),0.014,IF(AND(BA9=3,BB9=6),0.022,IF(AND(BA9=4,BB9=6),0.033,IF(AND(BA9=5,BB9=6),0.048,IF(AND(BA9=1,BB9=7),0.022,IF(AND(BA9=2,BB9=7),0.022,IF(AND(BA9=3,BB9=7),0.033,IF(AND(BA9=4,BB9=7),0.033,IF(AND(BA9=5,BB9=7),0.048,IF(AND(BA9=1,BB9=8),0.033,IF(AND(BA9=2,BB9=8),0.048,IF(AND(BA9=3,BB9=8),0.048,IF(AND(BA9=4,BB9=8),0.071,IF(AND(BA9=5,BB9=8),0.071,0)))))))))))))))</f>
        <v>0</v>
      </c>
      <c r="BD9" s="1">
        <f t="shared" ref="BD9:BD29" si="1">BC9*U9</f>
        <v>0</v>
      </c>
    </row>
    <row r="10" spans="2:56" ht="15" customHeight="1" thickBot="1">
      <c r="C10" s="483"/>
      <c r="D10" s="483"/>
      <c r="E10" s="135">
        <f>'Исходные данные'!B7</f>
        <v>0</v>
      </c>
      <c r="F10" s="108">
        <f>'Исходные данные'!C7</f>
        <v>0</v>
      </c>
      <c r="G10" s="108">
        <f>'Исходные данные'!D7</f>
        <v>0</v>
      </c>
      <c r="H10" s="108" t="s">
        <v>7</v>
      </c>
      <c r="I10" s="129">
        <f>IF('Исходные данные'!M7=1,'Исходные данные'!F7-1.5,IF('Исходные данные'!M7=2,'Исходные данные'!F7-1.5,IF('Исходные данные'!M7=3,'Исходные данные'!F7-1.5,IF('Исходные данные'!M7=4,"---",0))))</f>
        <v>0</v>
      </c>
      <c r="J10" s="110" t="str">
        <f>IF('Исходные данные'!M7=1,'Исходные данные'!H7*2,IF('Исходные данные'!M7=2,'Исходные данные'!H7*2,IF('Исходные данные'!M7=3,'Исходные данные'!H7*2,IF('Исходные данные'!M7=4,'Исходные данные'!H7*2,"---"))))</f>
        <v>---</v>
      </c>
      <c r="K10" s="108" t="str">
        <f>'Труматик гермики'!O8</f>
        <v>---</v>
      </c>
      <c r="L10" s="384">
        <f>IF(I10&gt;0,('Исходные данные'!F7-1.5-('Труматик гермики'!R8-1)*150)/2,0)</f>
        <v>0</v>
      </c>
      <c r="M10" s="79" t="str">
        <f>IF('Исходные данные'!L7=1,"сталь 65Г",IF('Исходные данные'!L7=2,"сталь 65Г",IF('Исходные данные'!L7=3,"бронза",IF('Исходные данные'!L7=4,"сталь 65Г","---"))))</f>
        <v>---</v>
      </c>
      <c r="N10" s="79">
        <f>IF(M10="бронза",(('Исходные данные'!F7-1.5)*J10)+20,0)</f>
        <v>0</v>
      </c>
      <c r="O10" s="388" t="str">
        <f>IF('Исходные данные'!V7=2,'Исходные данные'!F7+60,"---")</f>
        <v>---</v>
      </c>
      <c r="P10" s="108" t="s">
        <v>294</v>
      </c>
      <c r="Q10" s="385">
        <f>IF('Исходные данные'!V7=0,0,IF('Исходные данные'!M7=2,60,60))</f>
        <v>0</v>
      </c>
      <c r="R10" s="395">
        <f>IF('Исходные данные'!V7=2,'Исходные данные'!H7*1,0)</f>
        <v>0</v>
      </c>
      <c r="S10" s="398">
        <f>IF('Исходные данные'!L7=3,'Ножницы упор'!F8,0)</f>
        <v>0</v>
      </c>
      <c r="T10" s="417">
        <f>IF('Исходные данные'!L7=3,AI10,0)</f>
        <v>0</v>
      </c>
      <c r="U10" s="417">
        <f>IF('Исходные данные'!L7=3,AK10,0)</f>
        <v>0</v>
      </c>
      <c r="V10" s="401">
        <f>((S10*T10*1.5)*8.43/1000000)*U10</f>
        <v>0</v>
      </c>
      <c r="W10" s="108"/>
      <c r="X10" s="1"/>
      <c r="Y10" s="1"/>
      <c r="Z10" s="137"/>
      <c r="AA10" s="485"/>
      <c r="AB10" s="464"/>
      <c r="AC10" s="464"/>
      <c r="AE10" t="str">
        <f>IFERROR(((('Исходные данные'!F7-2)-(('Труматик гермики'!R8-1)*'Задание Ножницы лента'!K10))/2),"---")</f>
        <v>---</v>
      </c>
      <c r="AG10">
        <f>IF('Исходные данные'!F7&lt;=500,0.008*2,IF('Исходные данные'!F7&lt;=1000,0.014*2,IF('Исходные данные'!F7&lt;=1500,0.022*2,IF('Исходные данные'!F7&lt;=2000,0.033*2,IF('Исходные данные'!F7&lt;=2500,0.048*2,)))))</f>
        <v>1.6E-2</v>
      </c>
      <c r="AH10">
        <f t="shared" si="0"/>
        <v>0</v>
      </c>
      <c r="AI10" s="1">
        <f t="shared" ref="AI10:AI29" si="2">IF(AJ10&gt;1500,AJ10/2,AJ10)</f>
        <v>-5.5</v>
      </c>
      <c r="AJ10" s="1">
        <f>'Исходные данные'!G7-5.5</f>
        <v>-5.5</v>
      </c>
      <c r="AK10" s="1">
        <f>IF(AJ10&gt;1500,'Исходные данные'!H7*2*2,'Исходные данные'!H7*2)</f>
        <v>0</v>
      </c>
      <c r="AM10" s="1">
        <f t="shared" ref="AM10:AM29" si="3">IF(I10=0,0,IF(I10&lt;=1000,0.017,IF(I10&lt;=2000,0.022,IF(I10&gt;2000,0.028,0))))</f>
        <v>0</v>
      </c>
      <c r="AN10" s="1">
        <f t="shared" ref="AN10:AN29" si="4">IF(I10&gt;0,AM10,0)</f>
        <v>0</v>
      </c>
      <c r="AO10" s="1">
        <f>IF(I10&gt;0,0.011*'Труматик гермики'!R8*2,0)</f>
        <v>0</v>
      </c>
      <c r="AP10" s="1">
        <f t="shared" ref="AP10:AP29" si="5">IF(S10&gt;0,U10*0.006,0)</f>
        <v>0</v>
      </c>
      <c r="AQ10" s="1">
        <f t="shared" ref="AQ10:AQ29" si="6">IF(I10=0,0,IF(I10&lt;=500,0.01*J10,IF(I10&lt;=1000,0.01*J10,IF(I10&lt;=1500,0.01*J10,IF(I10&lt;=2000,0.015*J10,IF(I10&lt;=2500,0.015*J10,0))))))</f>
        <v>0</v>
      </c>
      <c r="AR10" s="1">
        <f t="shared" ref="AR10:AR29" si="7">IF(I10&gt;0,AQ10,0)</f>
        <v>0</v>
      </c>
      <c r="AT10" s="421">
        <v>200</v>
      </c>
      <c r="AU10" s="423">
        <v>8.0000000000000002E-3</v>
      </c>
      <c r="AV10" s="424">
        <v>1.4E-2</v>
      </c>
      <c r="AW10" s="424">
        <v>2.1999999999999999E-2</v>
      </c>
      <c r="AX10" s="424">
        <v>3.3000000000000002E-2</v>
      </c>
      <c r="AY10" s="425">
        <v>4.8000000000000001E-2</v>
      </c>
      <c r="BA10">
        <f t="shared" ref="BA10:BA29" si="8">IF(T10=0,0,IF(T10&lt;=500,1,IF(T10&lt;=1000,2,IF(T10&lt;=1500,3,IF(T10&lt;=2000,4,IF(T10&lt;=2500,5,0))))))</f>
        <v>0</v>
      </c>
      <c r="BB10">
        <f t="shared" ref="BB10:BB29" si="9">IF(S10=0,0,IF(S10&lt;=200,6,IF(S10&lt;=500,7,IF(S10&lt;=1250,8,0))))</f>
        <v>0</v>
      </c>
      <c r="BC10">
        <f t="shared" ref="BC10:BC29" si="10">IF(AND(BA10=1,BB10=6),0.008,IF(AND(BA10=2,BB10=6),0.014,IF(AND(BA10=3,BB10=6),0.022,IF(AND(BA10=4,BB10=6),0.033,IF(AND(BA10=5,BB10=6),0.048,IF(AND(BA10=1,BB10=7),0.022,IF(AND(BA10=2,BB10=7),0.022,IF(AND(BA10=3,BB10=7),0.033,IF(AND(BA10=4,BB10=7),0.033,IF(AND(BA10=5,BB10=7),0.048,IF(AND(BA10=1,BB10=8),0.033,IF(AND(BA10=2,BB10=8),0.048,IF(AND(BA10=3,BB10=8),0.048,IF(AND(BA10=4,BB10=8),0.071,IF(AND(BA10=5,BB10=8),0.071,0)))))))))))))))</f>
        <v>0</v>
      </c>
      <c r="BD10" s="1">
        <f t="shared" si="1"/>
        <v>0</v>
      </c>
    </row>
    <row r="11" spans="2:56" ht="15.75" thickBot="1">
      <c r="B11" s="482" t="s">
        <v>284</v>
      </c>
      <c r="C11" s="483"/>
      <c r="D11" s="483"/>
      <c r="E11" s="135">
        <f>'Исходные данные'!B8</f>
        <v>0</v>
      </c>
      <c r="F11" s="108">
        <f>'Исходные данные'!C8</f>
        <v>0</v>
      </c>
      <c r="G11" s="108">
        <f>'Исходные данные'!D8</f>
        <v>0</v>
      </c>
      <c r="H11" s="108"/>
      <c r="I11" s="129">
        <f>IF('Исходные данные'!M8=1,'Исходные данные'!F8-1.5,IF('Исходные данные'!M8=2,'Исходные данные'!F8-1.5,IF('Исходные данные'!M8=3,'Исходные данные'!F8-1.5,IF('Исходные данные'!M8=4,"---",0))))</f>
        <v>0</v>
      </c>
      <c r="J11" s="110" t="str">
        <f>IF('Исходные данные'!M8=1,'Исходные данные'!H8*2,IF('Исходные данные'!M8=2,'Исходные данные'!H8*2,IF('Исходные данные'!M8=3,'Исходные данные'!H8*2,IF('Исходные данные'!M8=4,'Исходные данные'!H8*2,"---"))))</f>
        <v>---</v>
      </c>
      <c r="K11" s="108" t="str">
        <f>'Труматик гермики'!O9</f>
        <v>---</v>
      </c>
      <c r="L11" s="384">
        <f>IF(I11&gt;0,('Исходные данные'!F8-1.5-('Труматик гермики'!R9-1)*150)/2,0)</f>
        <v>0</v>
      </c>
      <c r="M11" s="79" t="str">
        <f>IF('Исходные данные'!L8=1,"сталь 65Г",IF('Исходные данные'!L8=2,"сталь 65Г",IF('Исходные данные'!L8=3,"бронза",IF('Исходные данные'!L8=4,"сталь 65Г","---"))))</f>
        <v>---</v>
      </c>
      <c r="N11" s="79">
        <f>IF(M11="бронза",(('Исходные данные'!F8-1.5)*J11)+20,0)</f>
        <v>0</v>
      </c>
      <c r="O11" s="388" t="str">
        <f>IF('Исходные данные'!V8=2,'Исходные данные'!F8+60,"---")</f>
        <v>---</v>
      </c>
      <c r="P11" s="108" t="s">
        <v>294</v>
      </c>
      <c r="Q11" s="385">
        <f>IF('Исходные данные'!V8=0,0,IF('Исходные данные'!M8=2,60,60))</f>
        <v>0</v>
      </c>
      <c r="R11" s="395">
        <f>IF('Исходные данные'!V8=2,'Исходные данные'!H8*1,0)</f>
        <v>0</v>
      </c>
      <c r="S11" s="398">
        <f>IF('Исходные данные'!L8=3,'Ножницы упор'!F9,0)</f>
        <v>0</v>
      </c>
      <c r="T11" s="417">
        <f>IF('Исходные данные'!L8=3,AI11,0)</f>
        <v>0</v>
      </c>
      <c r="U11" s="417">
        <f>IF('Исходные данные'!L8=3,AK11,0)</f>
        <v>0</v>
      </c>
      <c r="V11" s="401">
        <f t="shared" ref="V11:V29" si="11">((S11*T11*1.5)*8.43/1000000)*U11</f>
        <v>0</v>
      </c>
      <c r="W11" s="108"/>
      <c r="X11" s="1"/>
      <c r="Y11" s="1"/>
      <c r="Z11" s="137"/>
      <c r="AA11" s="485"/>
      <c r="AC11" s="18"/>
      <c r="AE11" t="str">
        <f>IFERROR(((('Исходные данные'!F8-2)-(('Труматик гермики'!R9-1)*'Задание Ножницы лента'!K11))/2),"---")</f>
        <v>---</v>
      </c>
      <c r="AG11">
        <f>IF('Исходные данные'!F8&lt;=500,0.008*2,IF('Исходные данные'!F8&lt;=1000,0.014*2,IF('Исходные данные'!F8&lt;=1500,0.022*2,IF('Исходные данные'!F8&lt;=2000,0.033*2,IF('Исходные данные'!F8&lt;=2500,0.048*2,)))))</f>
        <v>1.6E-2</v>
      </c>
      <c r="AH11">
        <f t="shared" si="0"/>
        <v>0</v>
      </c>
      <c r="AI11" s="1">
        <f t="shared" si="2"/>
        <v>-5.5</v>
      </c>
      <c r="AJ11" s="1">
        <f>'Исходные данные'!G8-5.5</f>
        <v>-5.5</v>
      </c>
      <c r="AK11" s="1">
        <f>IF(AJ11&gt;1500,'Исходные данные'!H8*2*2,'Исходные данные'!H8*2)</f>
        <v>0</v>
      </c>
      <c r="AM11" s="1">
        <f t="shared" si="3"/>
        <v>0</v>
      </c>
      <c r="AN11" s="1">
        <f t="shared" si="4"/>
        <v>0</v>
      </c>
      <c r="AO11" s="1">
        <f>IF(I11&gt;0,0.011*'Труматик гермики'!R9*2,0)</f>
        <v>0</v>
      </c>
      <c r="AP11" s="1">
        <f t="shared" si="5"/>
        <v>0</v>
      </c>
      <c r="AQ11" s="1">
        <f t="shared" si="6"/>
        <v>0</v>
      </c>
      <c r="AR11" s="1">
        <f t="shared" si="7"/>
        <v>0</v>
      </c>
      <c r="AT11" s="360">
        <v>500</v>
      </c>
      <c r="AU11" s="125">
        <v>2.1999999999999999E-2</v>
      </c>
      <c r="AV11" s="1">
        <v>2.1999999999999999E-2</v>
      </c>
      <c r="AW11" s="1">
        <v>3.3000000000000002E-2</v>
      </c>
      <c r="AX11" s="1">
        <v>3.3000000000000002E-2</v>
      </c>
      <c r="AY11" s="137">
        <v>4.8000000000000001E-2</v>
      </c>
      <c r="BA11">
        <f t="shared" si="8"/>
        <v>0</v>
      </c>
      <c r="BB11">
        <f t="shared" si="9"/>
        <v>0</v>
      </c>
      <c r="BC11">
        <f t="shared" si="10"/>
        <v>0</v>
      </c>
      <c r="BD11" s="1">
        <f t="shared" si="1"/>
        <v>0</v>
      </c>
    </row>
    <row r="12" spans="2:56" ht="15.75" thickBot="1">
      <c r="B12" s="482"/>
      <c r="C12" s="483"/>
      <c r="D12" s="483"/>
      <c r="E12" s="135">
        <f>'Исходные данные'!B9</f>
        <v>0</v>
      </c>
      <c r="F12" s="108">
        <f>'Исходные данные'!C9</f>
        <v>0</v>
      </c>
      <c r="G12" s="108">
        <f>'Исходные данные'!D9</f>
        <v>0</v>
      </c>
      <c r="H12" s="108"/>
      <c r="I12" s="129">
        <f>IF('Исходные данные'!M9=1,'Исходные данные'!F9-1.5,IF('Исходные данные'!M9=2,'Исходные данные'!F9-1.5,IF('Исходные данные'!M9=3,'Исходные данные'!F9-1.5,IF('Исходные данные'!M9=4,"---",0))))</f>
        <v>0</v>
      </c>
      <c r="J12" s="110" t="str">
        <f>IF('Исходные данные'!M9=1,'Исходные данные'!H9*2,IF('Исходные данные'!M9=2,'Исходные данные'!H9*2,IF('Исходные данные'!M9=3,'Исходные данные'!H9*2,IF('Исходные данные'!M9=4,'Исходные данные'!H9*2,"---"))))</f>
        <v>---</v>
      </c>
      <c r="K12" s="108" t="str">
        <f>'Труматик гермики'!O10</f>
        <v>---</v>
      </c>
      <c r="L12" s="384">
        <f>IF(I12&gt;0,('Исходные данные'!F9-1.5-('Труматик гермики'!R10-1)*150)/2,0)</f>
        <v>0</v>
      </c>
      <c r="M12" s="79" t="str">
        <f>IF('Исходные данные'!L9=1,"сталь 65Г",IF('Исходные данные'!L9=2,"сталь 65Г",IF('Исходные данные'!L9=3,"бронза",IF('Исходные данные'!L9=4,"сталь 65Г","---"))))</f>
        <v>---</v>
      </c>
      <c r="N12" s="79">
        <f>IF(M12="бронза",(('Исходные данные'!F9-1.5)*J12)+20,0)</f>
        <v>0</v>
      </c>
      <c r="O12" s="388" t="str">
        <f>IF('Исходные данные'!V9=2,'Исходные данные'!F9+60,"---")</f>
        <v>---</v>
      </c>
      <c r="P12" s="108" t="s">
        <v>294</v>
      </c>
      <c r="Q12" s="385">
        <f>IF('Исходные данные'!V9=0,0,IF('Исходные данные'!M9=2,60,60))</f>
        <v>0</v>
      </c>
      <c r="R12" s="395">
        <f>IF('Исходные данные'!V9=2,'Исходные данные'!H9*1,0)</f>
        <v>0</v>
      </c>
      <c r="S12" s="398">
        <f>IF('Исходные данные'!L9=3,'Ножницы упор'!F10,0)</f>
        <v>0</v>
      </c>
      <c r="T12" s="417">
        <f>IF('Исходные данные'!L9=3,AI12,0)</f>
        <v>0</v>
      </c>
      <c r="U12" s="417">
        <f>IF('Исходные данные'!L9=3,AK12,0)</f>
        <v>0</v>
      </c>
      <c r="V12" s="401">
        <f t="shared" si="11"/>
        <v>0</v>
      </c>
      <c r="W12" s="108"/>
      <c r="X12" s="1"/>
      <c r="Y12" s="1"/>
      <c r="Z12" s="137"/>
      <c r="AA12" s="485"/>
      <c r="AC12" s="18"/>
      <c r="AE12" t="str">
        <f>IFERROR(((('Исходные данные'!F9-2)-(('Труматик гермики'!R10-1)*'Задание Ножницы лента'!K12))/2),"---")</f>
        <v>---</v>
      </c>
      <c r="AG12">
        <f>IF('Исходные данные'!F9&lt;=500,0.008*2,IF('Исходные данные'!F9&lt;=1000,0.014*2,IF('Исходные данные'!F9&lt;=1500,0.022*2,IF('Исходные данные'!F9&lt;=2000,0.033*2,IF('Исходные данные'!F9&lt;=2500,0.048*2,)))))</f>
        <v>1.6E-2</v>
      </c>
      <c r="AH12">
        <f t="shared" si="0"/>
        <v>0</v>
      </c>
      <c r="AI12" s="1">
        <f t="shared" si="2"/>
        <v>-5.5</v>
      </c>
      <c r="AJ12" s="1">
        <f>'Исходные данные'!G9-5.5</f>
        <v>-5.5</v>
      </c>
      <c r="AK12" s="1">
        <f>IF(AJ12&gt;1500,'Исходные данные'!H9*2*2,'Исходные данные'!H9*2)</f>
        <v>0</v>
      </c>
      <c r="AM12" s="1">
        <f t="shared" si="3"/>
        <v>0</v>
      </c>
      <c r="AN12" s="1">
        <f t="shared" si="4"/>
        <v>0</v>
      </c>
      <c r="AO12" s="1">
        <f>IF(I12&gt;0,0.011*'Труматик гермики'!R10*2,0)</f>
        <v>0</v>
      </c>
      <c r="AP12" s="1">
        <f t="shared" si="5"/>
        <v>0</v>
      </c>
      <c r="AQ12" s="1">
        <f t="shared" si="6"/>
        <v>0</v>
      </c>
      <c r="AR12" s="1">
        <f t="shared" si="7"/>
        <v>0</v>
      </c>
      <c r="AT12" s="422">
        <v>1250</v>
      </c>
      <c r="AU12" s="126">
        <v>3.3000000000000002E-2</v>
      </c>
      <c r="AV12" s="127">
        <v>4.8000000000000001E-2</v>
      </c>
      <c r="AW12" s="127">
        <v>4.8000000000000001E-2</v>
      </c>
      <c r="AX12" s="127">
        <v>7.0999999999999994E-2</v>
      </c>
      <c r="AY12" s="84">
        <v>7.0999999999999994E-2</v>
      </c>
      <c r="BA12">
        <f t="shared" si="8"/>
        <v>0</v>
      </c>
      <c r="BB12">
        <f t="shared" si="9"/>
        <v>0</v>
      </c>
      <c r="BC12">
        <f t="shared" si="10"/>
        <v>0</v>
      </c>
      <c r="BD12" s="1">
        <f t="shared" si="1"/>
        <v>0</v>
      </c>
    </row>
    <row r="13" spans="2:56">
      <c r="B13" s="482"/>
      <c r="C13" s="483"/>
      <c r="D13" s="483"/>
      <c r="E13" s="135">
        <f>'Исходные данные'!B10</f>
        <v>0</v>
      </c>
      <c r="F13" s="108">
        <f>'Исходные данные'!C10</f>
        <v>0</v>
      </c>
      <c r="G13" s="108">
        <f>'Исходные данные'!D10</f>
        <v>0</v>
      </c>
      <c r="H13" s="108"/>
      <c r="I13" s="129">
        <f>IF('Исходные данные'!M10=1,'Исходные данные'!F10-1.5,IF('Исходные данные'!M10=2,'Исходные данные'!F10-1.5,IF('Исходные данные'!M10=3,'Исходные данные'!F10-1.5,IF('Исходные данные'!M10=4,"---",0))))</f>
        <v>0</v>
      </c>
      <c r="J13" s="110" t="str">
        <f>IF('Исходные данные'!M10=1,'Исходные данные'!H10*2,IF('Исходные данные'!M10=2,'Исходные данные'!H10*2,IF('Исходные данные'!M10=3,'Исходные данные'!H10*2,IF('Исходные данные'!M10=4,'Исходные данные'!H10*2,"---"))))</f>
        <v>---</v>
      </c>
      <c r="K13" s="108" t="str">
        <f>'Труматик гермики'!O11</f>
        <v>---</v>
      </c>
      <c r="L13" s="384">
        <f>IF(I13&gt;0,('Исходные данные'!F10-1.5-('Труматик гермики'!R11-1)*150)/2,0)</f>
        <v>0</v>
      </c>
      <c r="M13" s="79" t="str">
        <f>IF('Исходные данные'!L10=1,"сталь 65Г",IF('Исходные данные'!L10=2,"сталь 65Г",IF('Исходные данные'!L10=3,"бронза",IF('Исходные данные'!L10=4,"сталь 65Г","---"))))</f>
        <v>---</v>
      </c>
      <c r="N13" s="79">
        <f>IF(M13="бронза",(('Исходные данные'!F10-1.5)*J13)+20,0)</f>
        <v>0</v>
      </c>
      <c r="O13" s="388" t="str">
        <f>IF('Исходные данные'!V10=2,'Исходные данные'!F10+60,"---")</f>
        <v>---</v>
      </c>
      <c r="P13" s="108" t="s">
        <v>294</v>
      </c>
      <c r="Q13" s="385">
        <f>IF('Исходные данные'!V10=0,0,IF('Исходные данные'!M10=2,60,60))</f>
        <v>0</v>
      </c>
      <c r="R13" s="395">
        <f>IF('Исходные данные'!V10=2,'Исходные данные'!H10*1,0)</f>
        <v>0</v>
      </c>
      <c r="S13" s="398">
        <f>IF('Исходные данные'!L10=3,'Ножницы упор'!F11,0)</f>
        <v>0</v>
      </c>
      <c r="T13" s="417">
        <f>IF('Исходные данные'!L10=3,AI13,0)</f>
        <v>0</v>
      </c>
      <c r="U13" s="417">
        <f>IF('Исходные данные'!L10=3,AK13,0)</f>
        <v>0</v>
      </c>
      <c r="V13" s="401">
        <f t="shared" si="11"/>
        <v>0</v>
      </c>
      <c r="W13" s="108"/>
      <c r="X13" s="1"/>
      <c r="Y13" s="1"/>
      <c r="Z13" s="137"/>
      <c r="AA13" s="485"/>
      <c r="AB13" s="464" t="s">
        <v>240</v>
      </c>
      <c r="AC13" s="464" t="s">
        <v>290</v>
      </c>
      <c r="AE13" t="str">
        <f>IFERROR(((('Исходные данные'!F10-2)-(('Труматик гермики'!R11-1)*'Задание Ножницы лента'!K13))/2),"---")</f>
        <v>---</v>
      </c>
      <c r="AG13">
        <f>IF('Исходные данные'!F10&lt;=500,0.008*2,IF('Исходные данные'!F10&lt;=1000,0.014*2,IF('Исходные данные'!F10&lt;=1500,0.022*2,IF('Исходные данные'!F10&lt;=2000,0.033*2,IF('Исходные данные'!F10&lt;=2500,0.048*2,)))))</f>
        <v>1.6E-2</v>
      </c>
      <c r="AH13">
        <f t="shared" si="0"/>
        <v>0</v>
      </c>
      <c r="AI13" s="1">
        <f t="shared" si="2"/>
        <v>-5.5</v>
      </c>
      <c r="AJ13" s="1">
        <f>'Исходные данные'!G10-5.5</f>
        <v>-5.5</v>
      </c>
      <c r="AK13" s="1">
        <f>IF(AJ13&gt;1500,'Исходные данные'!H10*2*2,'Исходные данные'!H10*2)</f>
        <v>0</v>
      </c>
      <c r="AM13" s="1">
        <f t="shared" si="3"/>
        <v>0</v>
      </c>
      <c r="AN13" s="1">
        <f t="shared" si="4"/>
        <v>0</v>
      </c>
      <c r="AO13" s="1">
        <f>IF(I13&gt;0,0.011*'Труматик гермики'!R11*2,0)</f>
        <v>0</v>
      </c>
      <c r="AP13" s="1">
        <f t="shared" si="5"/>
        <v>0</v>
      </c>
      <c r="AQ13" s="1">
        <f t="shared" si="6"/>
        <v>0</v>
      </c>
      <c r="AR13" s="1">
        <f t="shared" si="7"/>
        <v>0</v>
      </c>
      <c r="BA13">
        <f t="shared" si="8"/>
        <v>0</v>
      </c>
      <c r="BB13">
        <f t="shared" si="9"/>
        <v>0</v>
      </c>
      <c r="BC13">
        <f t="shared" si="10"/>
        <v>0</v>
      </c>
      <c r="BD13" s="1">
        <f t="shared" si="1"/>
        <v>0</v>
      </c>
    </row>
    <row r="14" spans="2:56" ht="15" customHeight="1">
      <c r="B14" s="482"/>
      <c r="C14" s="483"/>
      <c r="D14" s="483"/>
      <c r="E14" s="135">
        <f>'Исходные данные'!B11</f>
        <v>0</v>
      </c>
      <c r="F14" s="108">
        <f>'Исходные данные'!C11</f>
        <v>0</v>
      </c>
      <c r="G14" s="108">
        <f>'Исходные данные'!D11</f>
        <v>0</v>
      </c>
      <c r="H14" s="108"/>
      <c r="I14" s="129">
        <f>IF('Исходные данные'!M11=1,'Исходные данные'!F11-1.5,IF('Исходные данные'!M11=2,'Исходные данные'!F11-1.5,IF('Исходные данные'!M11=3,'Исходные данные'!F11-1.5,IF('Исходные данные'!M11=4,"---",0))))</f>
        <v>0</v>
      </c>
      <c r="J14" s="110" t="str">
        <f>IF('Исходные данные'!M11=1,'Исходные данные'!H11*2,IF('Исходные данные'!M11=2,'Исходные данные'!H11*2,IF('Исходные данные'!M11=3,'Исходные данные'!H11*2,IF('Исходные данные'!M11=4,'Исходные данные'!H11*2,"---"))))</f>
        <v>---</v>
      </c>
      <c r="K14" s="108" t="str">
        <f>'Труматик гермики'!O12</f>
        <v>---</v>
      </c>
      <c r="L14" s="384">
        <f>IF(I14&gt;0,('Исходные данные'!F11-1.5-('Труматик гермики'!R12-1)*150)/2,0)</f>
        <v>0</v>
      </c>
      <c r="M14" s="79" t="str">
        <f>IF('Исходные данные'!L11=1,"сталь 65Г",IF('Исходные данные'!L11=2,"сталь 65Г",IF('Исходные данные'!L11=3,"бронза",IF('Исходные данные'!L11=4,"сталь 65Г","---"))))</f>
        <v>---</v>
      </c>
      <c r="N14" s="79">
        <f>IF(M14="бронза",(('Исходные данные'!F11-1.5)*J14)+20,0)</f>
        <v>0</v>
      </c>
      <c r="O14" s="388" t="str">
        <f>IF('Исходные данные'!V11=2,'Исходные данные'!F11+60,"---")</f>
        <v>---</v>
      </c>
      <c r="P14" s="108" t="s">
        <v>294</v>
      </c>
      <c r="Q14" s="385">
        <f>IF('Исходные данные'!V11=0,0,IF('Исходные данные'!M11=2,60,60))</f>
        <v>0</v>
      </c>
      <c r="R14" s="395">
        <f>IF('Исходные данные'!V11=2,'Исходные данные'!H11*1,0)</f>
        <v>0</v>
      </c>
      <c r="S14" s="398">
        <f>IF('Исходные данные'!L11=3,'Ножницы упор'!F12,0)</f>
        <v>0</v>
      </c>
      <c r="T14" s="417">
        <f>IF('Исходные данные'!L11=3,AI14,0)</f>
        <v>0</v>
      </c>
      <c r="U14" s="417">
        <f>IF('Исходные данные'!L11=3,AK14,0)</f>
        <v>0</v>
      </c>
      <c r="V14" s="401">
        <f t="shared" si="11"/>
        <v>0</v>
      </c>
      <c r="W14" s="108"/>
      <c r="X14" s="1"/>
      <c r="Y14" s="1"/>
      <c r="Z14" s="137"/>
      <c r="AA14" s="485"/>
      <c r="AB14" s="484"/>
      <c r="AC14" s="464"/>
      <c r="AE14" t="str">
        <f>IFERROR(((('Исходные данные'!F11-2)-(('Труматик гермики'!R12-1)*'Задание Ножницы лента'!K14))/2),"---")</f>
        <v>---</v>
      </c>
      <c r="AG14">
        <f>IF('Исходные данные'!F11&lt;=500,0.008*2,IF('Исходные данные'!F11&lt;=1000,0.014*2,IF('Исходные данные'!F11&lt;=1500,0.022*2,IF('Исходные данные'!F11&lt;=2000,0.033*2,IF('Исходные данные'!F11&lt;=2500,0.048*2,)))))</f>
        <v>1.6E-2</v>
      </c>
      <c r="AH14">
        <f t="shared" si="0"/>
        <v>0</v>
      </c>
      <c r="AI14" s="1">
        <f t="shared" si="2"/>
        <v>-5.5</v>
      </c>
      <c r="AJ14" s="1">
        <f>'Исходные данные'!G11-5.5</f>
        <v>-5.5</v>
      </c>
      <c r="AK14" s="1">
        <f>IF(AJ14&gt;1500,'Исходные данные'!H11*2*2,'Исходные данные'!H11*2)</f>
        <v>0</v>
      </c>
      <c r="AM14" s="1">
        <f t="shared" si="3"/>
        <v>0</v>
      </c>
      <c r="AN14" s="1">
        <f t="shared" si="4"/>
        <v>0</v>
      </c>
      <c r="AO14" s="1">
        <f>IF(I14&gt;0,0.011*'Труматик гермики'!R12*2,0)</f>
        <v>0</v>
      </c>
      <c r="AP14" s="1">
        <f t="shared" si="5"/>
        <v>0</v>
      </c>
      <c r="AQ14" s="1">
        <f t="shared" si="6"/>
        <v>0</v>
      </c>
      <c r="AR14" s="1">
        <f t="shared" si="7"/>
        <v>0</v>
      </c>
      <c r="BA14">
        <f t="shared" si="8"/>
        <v>0</v>
      </c>
      <c r="BB14">
        <f t="shared" si="9"/>
        <v>0</v>
      </c>
      <c r="BC14">
        <f t="shared" si="10"/>
        <v>0</v>
      </c>
      <c r="BD14" s="1">
        <f t="shared" si="1"/>
        <v>0</v>
      </c>
    </row>
    <row r="15" spans="2:56">
      <c r="B15" s="482"/>
      <c r="C15" s="483"/>
      <c r="D15" s="483"/>
      <c r="E15" s="135">
        <f>'Исходные данные'!B12</f>
        <v>0</v>
      </c>
      <c r="F15" s="108">
        <f>'Исходные данные'!C12</f>
        <v>0</v>
      </c>
      <c r="G15" s="108">
        <f>'Исходные данные'!D12</f>
        <v>0</v>
      </c>
      <c r="H15" s="108"/>
      <c r="I15" s="129">
        <f>IF('Исходные данные'!M12=1,'Исходные данные'!F12-1.5,IF('Исходные данные'!M12=2,'Исходные данные'!F12-1.5,IF('Исходные данные'!M12=3,'Исходные данные'!F12-1.5,IF('Исходные данные'!M12=4,"---",0))))</f>
        <v>0</v>
      </c>
      <c r="J15" s="110" t="str">
        <f>IF('Исходные данные'!M12=1,'Исходные данные'!H12*2,IF('Исходные данные'!M12=2,'Исходные данные'!H12*2,IF('Исходные данные'!M12=3,'Исходные данные'!H12*2,IF('Исходные данные'!M12=4,'Исходные данные'!H12*2,"---"))))</f>
        <v>---</v>
      </c>
      <c r="K15" s="108" t="str">
        <f>'Труматик гермики'!O13</f>
        <v>---</v>
      </c>
      <c r="L15" s="384">
        <f>IF(I15&gt;0,('Исходные данные'!F12-1.5-('Труматик гермики'!R13-1)*150)/2,0)</f>
        <v>0</v>
      </c>
      <c r="M15" s="79" t="str">
        <f>IF('Исходные данные'!L12=1,"сталь 65Г",IF('Исходные данные'!L12=2,"сталь 65Г",IF('Исходные данные'!L12=3,"бронза",IF('Исходные данные'!L12=4,"сталь 65Г","---"))))</f>
        <v>---</v>
      </c>
      <c r="N15" s="79">
        <f>IF(M15="бронза",(('Исходные данные'!F12-1.5)*J15)+20,0)</f>
        <v>0</v>
      </c>
      <c r="O15" s="388" t="str">
        <f>IF('Исходные данные'!V12=2,'Исходные данные'!F12+60,"---")</f>
        <v>---</v>
      </c>
      <c r="P15" s="108" t="s">
        <v>294</v>
      </c>
      <c r="Q15" s="385">
        <f>IF('Исходные данные'!V12=0,0,IF('Исходные данные'!M12=2,60,60))</f>
        <v>0</v>
      </c>
      <c r="R15" s="395">
        <f>IF('Исходные данные'!V12=2,'Исходные данные'!H12*1,0)</f>
        <v>0</v>
      </c>
      <c r="S15" s="398">
        <f>IF('Исходные данные'!L12=3,'Ножницы упор'!F13,0)</f>
        <v>0</v>
      </c>
      <c r="T15" s="417">
        <f>IF('Исходные данные'!L12=3,AI15,0)</f>
        <v>0</v>
      </c>
      <c r="U15" s="417">
        <f>IF('Исходные данные'!L12=3,AK15,0)</f>
        <v>0</v>
      </c>
      <c r="V15" s="401">
        <f t="shared" si="11"/>
        <v>0</v>
      </c>
      <c r="W15" s="108"/>
      <c r="X15" s="1"/>
      <c r="Y15" s="1"/>
      <c r="Z15" s="137"/>
      <c r="AA15" s="485"/>
      <c r="AB15" s="484"/>
      <c r="AC15" s="464"/>
      <c r="AE15" t="str">
        <f>IFERROR(((('Исходные данные'!F12-2)-(('Труматик гермики'!R13-1)*'Задание Ножницы лента'!K15))/2),"---")</f>
        <v>---</v>
      </c>
      <c r="AG15">
        <f>IF('Исходные данные'!F12&lt;=500,0.008*2,IF('Исходные данные'!F12&lt;=1000,0.014*2,IF('Исходные данные'!F12&lt;=1500,0.022*2,IF('Исходные данные'!F12&lt;=2000,0.033*2,IF('Исходные данные'!F12&lt;=2500,0.048*2,)))))</f>
        <v>1.6E-2</v>
      </c>
      <c r="AH15">
        <f t="shared" si="0"/>
        <v>0</v>
      </c>
      <c r="AI15" s="1">
        <f t="shared" si="2"/>
        <v>-5.5</v>
      </c>
      <c r="AJ15" s="1">
        <f>'Исходные данные'!G12-5.5</f>
        <v>-5.5</v>
      </c>
      <c r="AK15" s="1">
        <f>IF(AJ15&gt;1500,'Исходные данные'!H12*2*2,'Исходные данные'!H12*2)</f>
        <v>0</v>
      </c>
      <c r="AM15" s="1">
        <f t="shared" si="3"/>
        <v>0</v>
      </c>
      <c r="AN15" s="1">
        <f t="shared" si="4"/>
        <v>0</v>
      </c>
      <c r="AO15" s="1">
        <f>IF(I15&gt;0,0.011*'Труматик гермики'!R13*2,0)</f>
        <v>0</v>
      </c>
      <c r="AP15" s="1">
        <f t="shared" si="5"/>
        <v>0</v>
      </c>
      <c r="AQ15" s="1">
        <f t="shared" si="6"/>
        <v>0</v>
      </c>
      <c r="AR15" s="1">
        <f t="shared" si="7"/>
        <v>0</v>
      </c>
      <c r="BA15">
        <f t="shared" si="8"/>
        <v>0</v>
      </c>
      <c r="BB15">
        <f t="shared" si="9"/>
        <v>0</v>
      </c>
      <c r="BC15">
        <f t="shared" si="10"/>
        <v>0</v>
      </c>
      <c r="BD15" s="1">
        <f t="shared" si="1"/>
        <v>0</v>
      </c>
    </row>
    <row r="16" spans="2:56">
      <c r="B16" s="482"/>
      <c r="C16" s="483"/>
      <c r="D16" s="483"/>
      <c r="E16" s="135">
        <f>'Исходные данные'!B13</f>
        <v>0</v>
      </c>
      <c r="F16" s="108">
        <f>'Исходные данные'!C13</f>
        <v>0</v>
      </c>
      <c r="G16" s="108">
        <f>'Исходные данные'!D13</f>
        <v>0</v>
      </c>
      <c r="H16" s="108"/>
      <c r="I16" s="129">
        <f>IF('Исходные данные'!M13=1,'Исходные данные'!F13-1.5,IF('Исходные данные'!M13=2,'Исходные данные'!F13-1.5,IF('Исходные данные'!M13=3,'Исходные данные'!F13-1.5,IF('Исходные данные'!M13=4,"---",0))))</f>
        <v>0</v>
      </c>
      <c r="J16" s="110" t="str">
        <f>IF('Исходные данные'!M13=1,'Исходные данные'!H13*2,IF('Исходные данные'!M13=2,'Исходные данные'!H13*2,IF('Исходные данные'!M13=3,'Исходные данные'!H13*2,IF('Исходные данные'!M13=4,'Исходные данные'!H13*2,"---"))))</f>
        <v>---</v>
      </c>
      <c r="K16" s="108" t="str">
        <f>'Труматик гермики'!O14</f>
        <v>---</v>
      </c>
      <c r="L16" s="384">
        <f>IF(I16&gt;0,('Исходные данные'!F13-1.5-('Труматик гермики'!R14-1)*150)/2,0)</f>
        <v>0</v>
      </c>
      <c r="M16" s="79" t="str">
        <f>IF('Исходные данные'!L13=1,"сталь 65Г",IF('Исходные данные'!L13=2,"сталь 65Г",IF('Исходные данные'!L13=3,"бронза",IF('Исходные данные'!L13=4,"сталь 65Г","---"))))</f>
        <v>---</v>
      </c>
      <c r="N16" s="79">
        <f>IF(M16="бронза",(('Исходные данные'!F13-1.5)*J16)+20,0)</f>
        <v>0</v>
      </c>
      <c r="O16" s="388" t="str">
        <f>IF('Исходные данные'!V13=2,'Исходные данные'!F13+60,"---")</f>
        <v>---</v>
      </c>
      <c r="P16" s="108" t="s">
        <v>294</v>
      </c>
      <c r="Q16" s="385">
        <f>IF('Исходные данные'!V13=0,0,IF('Исходные данные'!M13=2,60,60))</f>
        <v>0</v>
      </c>
      <c r="R16" s="395">
        <f>IF('Исходные данные'!V13=2,'Исходные данные'!H13*1,0)</f>
        <v>0</v>
      </c>
      <c r="S16" s="398">
        <f>IF('Исходные данные'!L13=3,'Ножницы упор'!F14,0)</f>
        <v>0</v>
      </c>
      <c r="T16" s="417">
        <f>IF('Исходные данные'!L13=3,AI16,0)</f>
        <v>0</v>
      </c>
      <c r="U16" s="417">
        <f>IF('Исходные данные'!L13=3,AK16,0)</f>
        <v>0</v>
      </c>
      <c r="V16" s="401">
        <f t="shared" si="11"/>
        <v>0</v>
      </c>
      <c r="W16" s="108"/>
      <c r="X16" s="1"/>
      <c r="Y16" s="1"/>
      <c r="Z16" s="137"/>
      <c r="AA16" s="485"/>
      <c r="AB16" s="484"/>
      <c r="AC16" s="464"/>
      <c r="AE16" t="str">
        <f>IFERROR(((('Исходные данные'!F13-2)-(('Труматик гермики'!R14-1)*'Задание Ножницы лента'!K16))/2),"---")</f>
        <v>---</v>
      </c>
      <c r="AG16">
        <f>IF('Исходные данные'!F13&lt;=500,0.008*2,IF('Исходные данные'!F13&lt;=1000,0.014*2,IF('Исходные данные'!F13&lt;=1500,0.022*2,IF('Исходные данные'!F13&lt;=2000,0.033*2,IF('Исходные данные'!F13&lt;=2500,0.048*2,)))))</f>
        <v>1.6E-2</v>
      </c>
      <c r="AH16">
        <f t="shared" si="0"/>
        <v>0</v>
      </c>
      <c r="AI16" s="1">
        <f t="shared" si="2"/>
        <v>-5.5</v>
      </c>
      <c r="AJ16" s="1">
        <f>'Исходные данные'!G13-5.5</f>
        <v>-5.5</v>
      </c>
      <c r="AK16" s="1">
        <f>IF(AJ16&gt;1500,'Исходные данные'!H13*2*2,'Исходные данные'!H13*2)</f>
        <v>0</v>
      </c>
      <c r="AM16" s="1">
        <f t="shared" si="3"/>
        <v>0</v>
      </c>
      <c r="AN16" s="1">
        <f t="shared" si="4"/>
        <v>0</v>
      </c>
      <c r="AO16" s="1">
        <f>IF(I16&gt;0,0.011*'Труматик гермики'!R14*2,0)</f>
        <v>0</v>
      </c>
      <c r="AP16" s="1">
        <f t="shared" si="5"/>
        <v>0</v>
      </c>
      <c r="AQ16" s="1">
        <f t="shared" si="6"/>
        <v>0</v>
      </c>
      <c r="AR16" s="1">
        <f t="shared" si="7"/>
        <v>0</v>
      </c>
      <c r="BA16">
        <f t="shared" si="8"/>
        <v>0</v>
      </c>
      <c r="BB16">
        <f t="shared" si="9"/>
        <v>0</v>
      </c>
      <c r="BC16">
        <f t="shared" si="10"/>
        <v>0</v>
      </c>
      <c r="BD16" s="1">
        <f t="shared" si="1"/>
        <v>0</v>
      </c>
    </row>
    <row r="17" spans="1:56">
      <c r="A17" s="481" t="s">
        <v>295</v>
      </c>
      <c r="B17" s="482"/>
      <c r="C17" s="483"/>
      <c r="D17" s="483"/>
      <c r="E17" s="135">
        <f>'Исходные данные'!B14</f>
        <v>0</v>
      </c>
      <c r="F17" s="108">
        <f>'Исходные данные'!C14</f>
        <v>0</v>
      </c>
      <c r="G17" s="108">
        <f>'Исходные данные'!D14</f>
        <v>0</v>
      </c>
      <c r="H17" s="108"/>
      <c r="I17" s="129">
        <f>IF('Исходные данные'!M14=1,'Исходные данные'!F14-1.5,IF('Исходные данные'!M14=2,'Исходные данные'!F14-1.5,IF('Исходные данные'!M14=3,'Исходные данные'!F14-1.5,IF('Исходные данные'!M14=4,"---",0))))</f>
        <v>0</v>
      </c>
      <c r="J17" s="110" t="str">
        <f>IF('Исходные данные'!M14=1,'Исходные данные'!H14*2,IF('Исходные данные'!M14=2,'Исходные данные'!H14*2,IF('Исходные данные'!M14=3,'Исходные данные'!H14*2,IF('Исходные данные'!M14=4,'Исходные данные'!H14*2,"---"))))</f>
        <v>---</v>
      </c>
      <c r="K17" s="108" t="str">
        <f>'Труматик гермики'!O15</f>
        <v>---</v>
      </c>
      <c r="L17" s="384">
        <f>IF(I17&gt;0,('Исходные данные'!F14-1.5-('Труматик гермики'!R15-1)*150)/2,0)</f>
        <v>0</v>
      </c>
      <c r="M17" s="79" t="str">
        <f>IF('Исходные данные'!L14=1,"сталь 65Г",IF('Исходные данные'!L14=2,"сталь 65Г",IF('Исходные данные'!L14=3,"бронза",IF('Исходные данные'!L14=4,"сталь 65Г","---"))))</f>
        <v>---</v>
      </c>
      <c r="N17" s="79">
        <f>IF(M17="бронза",(('Исходные данные'!F14-1.5)*J17)+20,0)</f>
        <v>0</v>
      </c>
      <c r="O17" s="388" t="str">
        <f>IF('Исходные данные'!V14=2,'Исходные данные'!F14+60,"---")</f>
        <v>---</v>
      </c>
      <c r="P17" s="108" t="s">
        <v>294</v>
      </c>
      <c r="Q17" s="385">
        <f>IF('Исходные данные'!V14=0,0,IF('Исходные данные'!M14=2,60,60))</f>
        <v>0</v>
      </c>
      <c r="R17" s="395">
        <f>IF('Исходные данные'!V14=2,'Исходные данные'!H14*1,0)</f>
        <v>0</v>
      </c>
      <c r="S17" s="398">
        <f>IF('Исходные данные'!L14=3,'Ножницы упор'!F15,0)</f>
        <v>0</v>
      </c>
      <c r="T17" s="417">
        <f>IF('Исходные данные'!L14=3,AI17,0)</f>
        <v>0</v>
      </c>
      <c r="U17" s="417">
        <f>IF('Исходные данные'!L14=3,AK17,0)</f>
        <v>0</v>
      </c>
      <c r="V17" s="401">
        <f t="shared" si="11"/>
        <v>0</v>
      </c>
      <c r="W17" s="108"/>
      <c r="X17" s="1"/>
      <c r="Y17" s="1"/>
      <c r="Z17" s="137"/>
      <c r="AB17" s="484"/>
      <c r="AC17" s="464"/>
      <c r="AE17" t="str">
        <f>IFERROR(((('Исходные данные'!F14-2)-(('Труматик гермики'!R15-1)*'Задание Ножницы лента'!K17))/2),"---")</f>
        <v>---</v>
      </c>
      <c r="AG17">
        <f>IF('Исходные данные'!F14&lt;=500,0.008*2,IF('Исходные данные'!F14&lt;=1000,0.014*2,IF('Исходные данные'!F14&lt;=1500,0.022*2,IF('Исходные данные'!F14&lt;=2000,0.033*2,IF('Исходные данные'!F14&lt;=2500,0.048*2,)))))</f>
        <v>1.6E-2</v>
      </c>
      <c r="AH17">
        <f t="shared" si="0"/>
        <v>0</v>
      </c>
      <c r="AI17" s="1">
        <f t="shared" si="2"/>
        <v>-5.5</v>
      </c>
      <c r="AJ17" s="1">
        <f>'Исходные данные'!G14-5.5</f>
        <v>-5.5</v>
      </c>
      <c r="AK17" s="1">
        <f>IF(AJ17&gt;1500,'Исходные данные'!H14*2*2,'Исходные данные'!H14*2)</f>
        <v>0</v>
      </c>
      <c r="AM17" s="1">
        <f t="shared" si="3"/>
        <v>0</v>
      </c>
      <c r="AN17" s="1">
        <f t="shared" si="4"/>
        <v>0</v>
      </c>
      <c r="AO17" s="1">
        <f>IF(I17&gt;0,0.011*'Труматик гермики'!R15*2,0)</f>
        <v>0</v>
      </c>
      <c r="AP17" s="1">
        <f t="shared" si="5"/>
        <v>0</v>
      </c>
      <c r="AQ17" s="1">
        <f t="shared" si="6"/>
        <v>0</v>
      </c>
      <c r="AR17" s="1">
        <f t="shared" si="7"/>
        <v>0</v>
      </c>
      <c r="BA17">
        <f t="shared" si="8"/>
        <v>0</v>
      </c>
      <c r="BB17">
        <f t="shared" si="9"/>
        <v>0</v>
      </c>
      <c r="BC17">
        <f t="shared" si="10"/>
        <v>0</v>
      </c>
      <c r="BD17" s="1">
        <f t="shared" si="1"/>
        <v>0</v>
      </c>
    </row>
    <row r="18" spans="1:56" ht="15" customHeight="1">
      <c r="A18" s="481"/>
      <c r="B18" s="482"/>
      <c r="C18" s="483"/>
      <c r="D18" s="483"/>
      <c r="E18" s="135">
        <f>'Исходные данные'!B15</f>
        <v>0</v>
      </c>
      <c r="F18" s="108">
        <f>'Исходные данные'!C15</f>
        <v>0</v>
      </c>
      <c r="G18" s="108">
        <f>'Исходные данные'!D15</f>
        <v>0</v>
      </c>
      <c r="H18" s="108"/>
      <c r="I18" s="129">
        <f>IF('Исходные данные'!M15=1,'Исходные данные'!F15-1.5,IF('Исходные данные'!M15=2,'Исходные данные'!F15-1.5,IF('Исходные данные'!M15=3,'Исходные данные'!F15-1.5,IF('Исходные данные'!M15=4,"---",0))))</f>
        <v>0</v>
      </c>
      <c r="J18" s="110" t="str">
        <f>IF('Исходные данные'!M15=1,'Исходные данные'!H15*2,IF('Исходные данные'!M15=2,'Исходные данные'!H15*2,IF('Исходные данные'!M15=3,'Исходные данные'!H15*2,IF('Исходные данные'!M15=4,'Исходные данные'!H15*2,"---"))))</f>
        <v>---</v>
      </c>
      <c r="K18" s="108" t="str">
        <f>'Труматик гермики'!O16</f>
        <v>---</v>
      </c>
      <c r="L18" s="384">
        <f>IF(I18&gt;0,('Исходные данные'!F15-1.5-('Труматик гермики'!R16-1)*150)/2,0)</f>
        <v>0</v>
      </c>
      <c r="M18" s="79" t="str">
        <f>IF('Исходные данные'!L15=1,"сталь 65Г",IF('Исходные данные'!L15=2,"сталь 65Г",IF('Исходные данные'!L15=3,"бронза",IF('Исходные данные'!L15=4,"сталь 65Г","---"))))</f>
        <v>---</v>
      </c>
      <c r="N18" s="79">
        <f>IF(M18="бронза",(('Исходные данные'!F15-1.5)*J18)+20,0)</f>
        <v>0</v>
      </c>
      <c r="O18" s="388" t="str">
        <f>IF('Исходные данные'!V15=2,'Исходные данные'!F15+60,"---")</f>
        <v>---</v>
      </c>
      <c r="P18" s="108" t="s">
        <v>294</v>
      </c>
      <c r="Q18" s="385">
        <f>IF('Исходные данные'!V15=0,0,IF('Исходные данные'!M15=2,60,60))</f>
        <v>0</v>
      </c>
      <c r="R18" s="395">
        <f>IF('Исходные данные'!V15=2,'Исходные данные'!H15*1,0)</f>
        <v>0</v>
      </c>
      <c r="S18" s="398">
        <f>IF('Исходные данные'!L15=3,'Ножницы упор'!F16,0)</f>
        <v>0</v>
      </c>
      <c r="T18" s="417">
        <f>IF('Исходные данные'!L15=3,AI18,0)</f>
        <v>0</v>
      </c>
      <c r="U18" s="417">
        <f>IF('Исходные данные'!L15=3,AK18,0)</f>
        <v>0</v>
      </c>
      <c r="V18" s="401">
        <f t="shared" si="11"/>
        <v>0</v>
      </c>
      <c r="W18" s="108"/>
      <c r="X18" s="1"/>
      <c r="Y18" s="1"/>
      <c r="Z18" s="137"/>
      <c r="AB18" s="484"/>
      <c r="AC18" s="464"/>
      <c r="AE18" t="str">
        <f>IFERROR(((('Исходные данные'!F15-2)-(('Труматик гермики'!R16-1)*'Задание Ножницы лента'!K18))/2),"---")</f>
        <v>---</v>
      </c>
      <c r="AG18">
        <f>IF('Исходные данные'!F15&lt;=500,0.008*2,IF('Исходные данные'!F15&lt;=1000,0.014*2,IF('Исходные данные'!F15&lt;=1500,0.022*2,IF('Исходные данные'!F15&lt;=2000,0.033*2,IF('Исходные данные'!F15&lt;=2500,0.048*2,)))))</f>
        <v>1.6E-2</v>
      </c>
      <c r="AH18">
        <f t="shared" si="0"/>
        <v>0</v>
      </c>
      <c r="AI18" s="1">
        <f t="shared" si="2"/>
        <v>-5.5</v>
      </c>
      <c r="AJ18" s="1">
        <f>'Исходные данные'!G15-5.5</f>
        <v>-5.5</v>
      </c>
      <c r="AK18" s="1">
        <f>IF(AJ18&gt;1500,'Исходные данные'!H15*2*2,'Исходные данные'!H15*2)</f>
        <v>0</v>
      </c>
      <c r="AM18" s="1">
        <f t="shared" si="3"/>
        <v>0</v>
      </c>
      <c r="AN18" s="1">
        <f t="shared" si="4"/>
        <v>0</v>
      </c>
      <c r="AO18" s="1">
        <f>IF(I18&gt;0,0.011*'Труматик гермики'!R16*2,0)</f>
        <v>0</v>
      </c>
      <c r="AP18" s="1">
        <f t="shared" si="5"/>
        <v>0</v>
      </c>
      <c r="AQ18" s="1">
        <f t="shared" si="6"/>
        <v>0</v>
      </c>
      <c r="AR18" s="1">
        <f t="shared" si="7"/>
        <v>0</v>
      </c>
      <c r="BA18">
        <f t="shared" si="8"/>
        <v>0</v>
      </c>
      <c r="BB18">
        <f t="shared" si="9"/>
        <v>0</v>
      </c>
      <c r="BC18">
        <f t="shared" si="10"/>
        <v>0</v>
      </c>
      <c r="BD18" s="1">
        <f t="shared" si="1"/>
        <v>0</v>
      </c>
    </row>
    <row r="19" spans="1:56">
      <c r="A19" s="481"/>
      <c r="B19" s="482"/>
      <c r="C19" s="483"/>
      <c r="D19" s="483"/>
      <c r="E19" s="135">
        <f>'Исходные данные'!B16</f>
        <v>0</v>
      </c>
      <c r="F19" s="108">
        <f>'Исходные данные'!C16</f>
        <v>0</v>
      </c>
      <c r="G19" s="108">
        <f>'Исходные данные'!D16</f>
        <v>0</v>
      </c>
      <c r="H19" s="108"/>
      <c r="I19" s="129">
        <f>IF('Исходные данные'!M16=1,'Исходные данные'!F16-1.5,IF('Исходные данные'!M16=2,'Исходные данные'!F16-1.5,IF('Исходные данные'!M16=3,'Исходные данные'!F16-1.5,IF('Исходные данные'!M16=4,"---",0))))</f>
        <v>0</v>
      </c>
      <c r="J19" s="110" t="str">
        <f>IF('Исходные данные'!M16=1,'Исходные данные'!H16*2,IF('Исходные данные'!M16=2,'Исходные данные'!H16*2,IF('Исходные данные'!M16=3,'Исходные данные'!H16*2,IF('Исходные данные'!M16=4,'Исходные данные'!H16*2,"---"))))</f>
        <v>---</v>
      </c>
      <c r="K19" s="108" t="str">
        <f>'Труматик гермики'!O17</f>
        <v>---</v>
      </c>
      <c r="L19" s="384">
        <f>IF(I19&gt;0,('Исходные данные'!F16-1.5-('Труматик гермики'!R17-1)*150)/2,0)</f>
        <v>0</v>
      </c>
      <c r="M19" s="79" t="str">
        <f>IF('Исходные данные'!L16=1,"сталь 65Г",IF('Исходные данные'!L16=2,"сталь 65Г",IF('Исходные данные'!L16=3,"бронза",IF('Исходные данные'!L16=4,"сталь 65Г","---"))))</f>
        <v>---</v>
      </c>
      <c r="N19" s="79">
        <f>IF(M19="бронза",(('Исходные данные'!F16-1.5)*J19)+20,0)</f>
        <v>0</v>
      </c>
      <c r="O19" s="388" t="str">
        <f>IF('Исходные данные'!V16=2,'Исходные данные'!F16+60,"---")</f>
        <v>---</v>
      </c>
      <c r="P19" s="108" t="s">
        <v>294</v>
      </c>
      <c r="Q19" s="385">
        <f>IF('Исходные данные'!V16=0,0,IF('Исходные данные'!M16=2,60,60))</f>
        <v>0</v>
      </c>
      <c r="R19" s="395">
        <f>IF('Исходные данные'!V16=2,'Исходные данные'!H16*1,0)</f>
        <v>0</v>
      </c>
      <c r="S19" s="398">
        <f>IF('Исходные данные'!L16=3,'Ножницы упор'!F17,0)</f>
        <v>0</v>
      </c>
      <c r="T19" s="417">
        <f>IF('Исходные данные'!L16=3,AI19,0)</f>
        <v>0</v>
      </c>
      <c r="U19" s="417">
        <f>IF('Исходные данные'!L16=3,AK19,0)</f>
        <v>0</v>
      </c>
      <c r="V19" s="401">
        <f t="shared" si="11"/>
        <v>0</v>
      </c>
      <c r="W19" s="108"/>
      <c r="X19" s="1"/>
      <c r="Y19" s="1"/>
      <c r="Z19" s="137"/>
      <c r="AB19" s="484"/>
      <c r="AC19" s="464"/>
      <c r="AE19" t="str">
        <f>IFERROR(((('Исходные данные'!F16-2)-(('Труматик гермики'!R17-1)*'Задание Ножницы лента'!K19))/2),"---")</f>
        <v>---</v>
      </c>
      <c r="AG19">
        <f>IF('Исходные данные'!F16&lt;=500,0.008*2,IF('Исходные данные'!F16&lt;=1000,0.014*2,IF('Исходные данные'!F16&lt;=1500,0.022*2,IF('Исходные данные'!F16&lt;=2000,0.033*2,IF('Исходные данные'!F16&lt;=2500,0.048*2,)))))</f>
        <v>1.6E-2</v>
      </c>
      <c r="AH19">
        <f t="shared" si="0"/>
        <v>0</v>
      </c>
      <c r="AI19" s="1">
        <f t="shared" si="2"/>
        <v>-5.5</v>
      </c>
      <c r="AJ19" s="1">
        <f>'Исходные данные'!G16-5.5</f>
        <v>-5.5</v>
      </c>
      <c r="AK19" s="1">
        <f>IF(AJ19&gt;1500,'Исходные данные'!H16*2*2,'Исходные данные'!H16*2)</f>
        <v>0</v>
      </c>
      <c r="AM19" s="1">
        <f t="shared" si="3"/>
        <v>0</v>
      </c>
      <c r="AN19" s="1">
        <f t="shared" si="4"/>
        <v>0</v>
      </c>
      <c r="AO19" s="1">
        <f>IF(I19&gt;0,0.011*'Труматик гермики'!R17*2,0)</f>
        <v>0</v>
      </c>
      <c r="AP19" s="1">
        <f t="shared" si="5"/>
        <v>0</v>
      </c>
      <c r="AQ19" s="1">
        <f t="shared" si="6"/>
        <v>0</v>
      </c>
      <c r="AR19" s="1">
        <f t="shared" si="7"/>
        <v>0</v>
      </c>
      <c r="BA19">
        <f t="shared" si="8"/>
        <v>0</v>
      </c>
      <c r="BB19">
        <f t="shared" si="9"/>
        <v>0</v>
      </c>
      <c r="BC19">
        <f t="shared" si="10"/>
        <v>0</v>
      </c>
      <c r="BD19" s="1">
        <f t="shared" si="1"/>
        <v>0</v>
      </c>
    </row>
    <row r="20" spans="1:56">
      <c r="A20" s="481"/>
      <c r="B20" s="482"/>
      <c r="C20" s="483"/>
      <c r="D20" s="483"/>
      <c r="E20" s="135">
        <f>'Исходные данные'!B17</f>
        <v>0</v>
      </c>
      <c r="F20" s="108">
        <f>'Исходные данные'!C17</f>
        <v>0</v>
      </c>
      <c r="G20" s="108">
        <f>'Исходные данные'!D17</f>
        <v>0</v>
      </c>
      <c r="H20" s="108"/>
      <c r="I20" s="129">
        <f>IF('Исходные данные'!M17=1,'Исходные данные'!F17-1.5,IF('Исходные данные'!M17=2,'Исходные данные'!F17-1.5,IF('Исходные данные'!M17=3,'Исходные данные'!F17-1.5,IF('Исходные данные'!M17=4,"---",0))))</f>
        <v>0</v>
      </c>
      <c r="J20" s="110" t="str">
        <f>IF('Исходные данные'!M17=1,'Исходные данные'!H17*2,IF('Исходные данные'!M17=2,'Исходные данные'!H17*2,IF('Исходные данные'!M17=3,'Исходные данные'!H17*2,IF('Исходные данные'!M17=4,'Исходные данные'!H17*2,"---"))))</f>
        <v>---</v>
      </c>
      <c r="K20" s="108" t="str">
        <f>'Труматик гермики'!O18</f>
        <v>---</v>
      </c>
      <c r="L20" s="384">
        <f>IF(I20&gt;0,('Исходные данные'!F17-1.5-('Труматик гермики'!R18-1)*150)/2,0)</f>
        <v>0</v>
      </c>
      <c r="M20" s="79" t="str">
        <f>IF('Исходные данные'!L17=1,"сталь 65Г",IF('Исходные данные'!L17=2,"сталь 65Г",IF('Исходные данные'!L17=3,"бронза",IF('Исходные данные'!L17=4,"сталь 65Г","---"))))</f>
        <v>---</v>
      </c>
      <c r="N20" s="79">
        <f>IF(M20="бронза",(('Исходные данные'!F17-1.5)*J20)+20,0)</f>
        <v>0</v>
      </c>
      <c r="O20" s="388" t="str">
        <f>IF('Исходные данные'!V17=2,'Исходные данные'!F17+60,"---")</f>
        <v>---</v>
      </c>
      <c r="P20" s="108" t="s">
        <v>294</v>
      </c>
      <c r="Q20" s="385">
        <f>IF('Исходные данные'!V17=0,0,IF('Исходные данные'!M17=2,60,60))</f>
        <v>0</v>
      </c>
      <c r="R20" s="395">
        <f>IF('Исходные данные'!V17=2,'Исходные данные'!H17*1,0)</f>
        <v>0</v>
      </c>
      <c r="S20" s="398">
        <f>IF('Исходные данные'!L17=3,'Ножницы упор'!F18,0)</f>
        <v>0</v>
      </c>
      <c r="T20" s="417">
        <f>IF('Исходные данные'!L17=3,AI20,0)</f>
        <v>0</v>
      </c>
      <c r="U20" s="417">
        <f>IF('Исходные данные'!L17=3,AK20,0)</f>
        <v>0</v>
      </c>
      <c r="V20" s="401">
        <f t="shared" si="11"/>
        <v>0</v>
      </c>
      <c r="W20" s="108"/>
      <c r="X20" s="1"/>
      <c r="Y20" s="1"/>
      <c r="Z20" s="137"/>
      <c r="AA20" s="481" t="s">
        <v>276</v>
      </c>
      <c r="AB20" s="484"/>
      <c r="AC20" s="464"/>
      <c r="AE20" t="str">
        <f>IFERROR(((('Исходные данные'!F17-2)-(('Труматик гермики'!R18-1)*'Задание Ножницы лента'!K20))/2),"---")</f>
        <v>---</v>
      </c>
      <c r="AG20">
        <f>IF('Исходные данные'!F17&lt;=500,0.008*2,IF('Исходные данные'!F17&lt;=1000,0.014*2,IF('Исходные данные'!F17&lt;=1500,0.022*2,IF('Исходные данные'!F17&lt;=2000,0.033*2,IF('Исходные данные'!F17&lt;=2500,0.048*2,)))))</f>
        <v>1.6E-2</v>
      </c>
      <c r="AH20">
        <f t="shared" si="0"/>
        <v>0</v>
      </c>
      <c r="AI20" s="1">
        <f t="shared" si="2"/>
        <v>-5.5</v>
      </c>
      <c r="AJ20" s="1">
        <f>'Исходные данные'!G17-5.5</f>
        <v>-5.5</v>
      </c>
      <c r="AK20" s="1">
        <f>IF(AJ20&gt;1500,'Исходные данные'!H17*2*2,'Исходные данные'!H17*2)</f>
        <v>0</v>
      </c>
      <c r="AM20" s="1">
        <f t="shared" si="3"/>
        <v>0</v>
      </c>
      <c r="AN20" s="1">
        <f t="shared" si="4"/>
        <v>0</v>
      </c>
      <c r="AO20" s="1">
        <f>IF(I20&gt;0,0.011*'Труматик гермики'!R18*2,0)</f>
        <v>0</v>
      </c>
      <c r="AP20" s="1">
        <f t="shared" si="5"/>
        <v>0</v>
      </c>
      <c r="AQ20" s="1">
        <f t="shared" si="6"/>
        <v>0</v>
      </c>
      <c r="AR20" s="1">
        <f t="shared" si="7"/>
        <v>0</v>
      </c>
      <c r="BA20">
        <f t="shared" si="8"/>
        <v>0</v>
      </c>
      <c r="BB20">
        <f t="shared" si="9"/>
        <v>0</v>
      </c>
      <c r="BC20">
        <f t="shared" si="10"/>
        <v>0</v>
      </c>
      <c r="BD20" s="1">
        <f t="shared" si="1"/>
        <v>0</v>
      </c>
    </row>
    <row r="21" spans="1:56">
      <c r="A21" s="481"/>
      <c r="B21" s="482"/>
      <c r="C21" s="483"/>
      <c r="D21" s="483"/>
      <c r="E21" s="135">
        <f>'Исходные данные'!B18</f>
        <v>0</v>
      </c>
      <c r="F21" s="108">
        <f>'Исходные данные'!C18</f>
        <v>0</v>
      </c>
      <c r="G21" s="108">
        <f>'Исходные данные'!D18</f>
        <v>0</v>
      </c>
      <c r="H21" s="108"/>
      <c r="I21" s="129">
        <f>IF('Исходные данные'!M18=1,'Исходные данные'!F18-1.5,IF('Исходные данные'!M18=2,'Исходные данные'!F18-1.5,IF('Исходные данные'!M18=3,'Исходные данные'!F18-1.5,IF('Исходные данные'!M18=4,"---",0))))</f>
        <v>0</v>
      </c>
      <c r="J21" s="110" t="str">
        <f>IF('Исходные данные'!M18=1,'Исходные данные'!H18*2,IF('Исходные данные'!M18=2,'Исходные данные'!H18*2,IF('Исходные данные'!M18=3,'Исходные данные'!H18*2,IF('Исходные данные'!M18=4,'Исходные данные'!H18*2,"---"))))</f>
        <v>---</v>
      </c>
      <c r="K21" s="108" t="str">
        <f>'Труматик гермики'!O19</f>
        <v>---</v>
      </c>
      <c r="L21" s="384">
        <f>IF(I21&gt;0,('Исходные данные'!F18-1.5-('Труматик гермики'!R19-1)*150)/2,0)</f>
        <v>0</v>
      </c>
      <c r="M21" s="79" t="str">
        <f>IF('Исходные данные'!L18=1,"сталь 65Г",IF('Исходные данные'!L18=2,"сталь 65Г",IF('Исходные данные'!L18=3,"бронза",IF('Исходные данные'!L18=4,"сталь 65Г","---"))))</f>
        <v>---</v>
      </c>
      <c r="N21" s="79">
        <f>IF(M21="бронза",(('Исходные данные'!F18-1.5)*J21)+20,0)</f>
        <v>0</v>
      </c>
      <c r="O21" s="388" t="str">
        <f>IF('Исходные данные'!V18=2,'Исходные данные'!F18+60,"---")</f>
        <v>---</v>
      </c>
      <c r="P21" s="108" t="s">
        <v>294</v>
      </c>
      <c r="Q21" s="385">
        <f>IF('Исходные данные'!V18=0,0,IF('Исходные данные'!M18=2,60,60))</f>
        <v>0</v>
      </c>
      <c r="R21" s="395">
        <f>IF('Исходные данные'!V18=2,'Исходные данные'!H18*1,0)</f>
        <v>0</v>
      </c>
      <c r="S21" s="398">
        <f>IF('Исходные данные'!L18=3,'Ножницы упор'!F19,0)</f>
        <v>0</v>
      </c>
      <c r="T21" s="417">
        <f>IF('Исходные данные'!L18=3,AI21,0)</f>
        <v>0</v>
      </c>
      <c r="U21" s="417">
        <f>IF('Исходные данные'!L18=3,AK21,0)</f>
        <v>0</v>
      </c>
      <c r="V21" s="401">
        <f t="shared" si="11"/>
        <v>0</v>
      </c>
      <c r="W21" s="108"/>
      <c r="X21" s="1"/>
      <c r="Y21" s="1"/>
      <c r="Z21" s="137"/>
      <c r="AA21" s="481"/>
      <c r="AB21" s="484"/>
      <c r="AC21" s="464"/>
      <c r="AE21" t="str">
        <f>IFERROR(((('Исходные данные'!F18-2)-(('Труматик гермики'!R19-1)*'Задание Ножницы лента'!K21))/2),"---")</f>
        <v>---</v>
      </c>
      <c r="AG21">
        <f>IF('Исходные данные'!F18&lt;=500,0.008*2,IF('Исходные данные'!F18&lt;=1000,0.014*2,IF('Исходные данные'!F18&lt;=1500,0.022*2,IF('Исходные данные'!F18&lt;=2000,0.033*2,IF('Исходные данные'!F18&lt;=2500,0.048*2,)))))</f>
        <v>1.6E-2</v>
      </c>
      <c r="AH21">
        <f t="shared" si="0"/>
        <v>0</v>
      </c>
      <c r="AI21" s="1">
        <f t="shared" si="2"/>
        <v>-5.5</v>
      </c>
      <c r="AJ21" s="1">
        <f>'Исходные данные'!G18-5.5</f>
        <v>-5.5</v>
      </c>
      <c r="AK21" s="1">
        <f>IF(AJ21&gt;1500,'Исходные данные'!H18*2*2,'Исходные данные'!H18*2)</f>
        <v>0</v>
      </c>
      <c r="AM21" s="1">
        <f t="shared" si="3"/>
        <v>0</v>
      </c>
      <c r="AN21" s="1">
        <f t="shared" si="4"/>
        <v>0</v>
      </c>
      <c r="AO21" s="1">
        <f>IF(I21&gt;0,0.011*'Труматик гермики'!R19*2,0)</f>
        <v>0</v>
      </c>
      <c r="AP21" s="1">
        <f t="shared" si="5"/>
        <v>0</v>
      </c>
      <c r="AQ21" s="1">
        <f t="shared" si="6"/>
        <v>0</v>
      </c>
      <c r="AR21" s="1">
        <f t="shared" si="7"/>
        <v>0</v>
      </c>
      <c r="BA21">
        <f t="shared" si="8"/>
        <v>0</v>
      </c>
      <c r="BB21">
        <f t="shared" si="9"/>
        <v>0</v>
      </c>
      <c r="BC21">
        <f t="shared" si="10"/>
        <v>0</v>
      </c>
      <c r="BD21" s="1">
        <f t="shared" si="1"/>
        <v>0</v>
      </c>
    </row>
    <row r="22" spans="1:56">
      <c r="A22" s="481"/>
      <c r="B22" s="482"/>
      <c r="C22" s="483"/>
      <c r="D22" s="483"/>
      <c r="E22" s="135">
        <f>'Исходные данные'!B19</f>
        <v>0</v>
      </c>
      <c r="F22" s="108">
        <f>'Исходные данные'!C19</f>
        <v>0</v>
      </c>
      <c r="G22" s="108">
        <f>'Исходные данные'!D19</f>
        <v>0</v>
      </c>
      <c r="H22" s="108"/>
      <c r="I22" s="129">
        <f>IF('Исходные данные'!M19=1,'Исходные данные'!F19-1.5,IF('Исходные данные'!M19=2,'Исходные данные'!F19-1.5,IF('Исходные данные'!M19=3,'Исходные данные'!F19-1.5,IF('Исходные данные'!M19=4,"---",0))))</f>
        <v>0</v>
      </c>
      <c r="J22" s="110" t="str">
        <f>IF('Исходные данные'!M19=1,'Исходные данные'!H19*2,IF('Исходные данные'!M19=2,'Исходные данные'!H19*2,IF('Исходные данные'!M19=3,'Исходные данные'!H19*2,IF('Исходные данные'!M19=4,'Исходные данные'!H19*2,"---"))))</f>
        <v>---</v>
      </c>
      <c r="K22" s="108" t="str">
        <f>'Труматик гермики'!O20</f>
        <v>---</v>
      </c>
      <c r="L22" s="384">
        <f>IF(I22&gt;0,('Исходные данные'!F19-1.5-('Труматик гермики'!R20-1)*150)/2,0)</f>
        <v>0</v>
      </c>
      <c r="M22" s="79" t="str">
        <f>IF('Исходные данные'!L19=1,"сталь 65Г",IF('Исходные данные'!L19=2,"сталь 65Г",IF('Исходные данные'!L19=3,"бронза",IF('Исходные данные'!L19=4,"сталь 65Г","---"))))</f>
        <v>---</v>
      </c>
      <c r="N22" s="79">
        <f>IF(M22="бронза",(('Исходные данные'!F19-1.5)*J22)+20,0)</f>
        <v>0</v>
      </c>
      <c r="O22" s="388" t="str">
        <f>IF('Исходные данные'!V19=2,'Исходные данные'!F19+60,"---")</f>
        <v>---</v>
      </c>
      <c r="P22" s="108" t="s">
        <v>294</v>
      </c>
      <c r="Q22" s="385">
        <f>IF('Исходные данные'!V19=0,0,IF('Исходные данные'!M19=2,60,60))</f>
        <v>0</v>
      </c>
      <c r="R22" s="395">
        <f>IF('Исходные данные'!V19=2,'Исходные данные'!H19*1,0)</f>
        <v>0</v>
      </c>
      <c r="S22" s="398">
        <f>IF('Исходные данные'!L19=3,'Ножницы упор'!F20,0)</f>
        <v>0</v>
      </c>
      <c r="T22" s="417">
        <f>IF('Исходные данные'!L19=3,AI22,0)</f>
        <v>0</v>
      </c>
      <c r="U22" s="417">
        <f>IF('Исходные данные'!L19=3,AK22,0)</f>
        <v>0</v>
      </c>
      <c r="V22" s="401">
        <f t="shared" si="11"/>
        <v>0</v>
      </c>
      <c r="W22" s="108"/>
      <c r="X22" s="1"/>
      <c r="Y22" s="1"/>
      <c r="Z22" s="137"/>
      <c r="AA22" s="481"/>
      <c r="AB22" s="484"/>
      <c r="AC22" s="464"/>
      <c r="AE22" t="str">
        <f>IFERROR(((('Исходные данные'!F19-2)-(('Труматик гермики'!R20-1)*'Задание Ножницы лента'!K22))/2),"---")</f>
        <v>---</v>
      </c>
      <c r="AG22">
        <f>IF('Исходные данные'!F19&lt;=500,0.008*2,IF('Исходные данные'!F19&lt;=1000,0.014*2,IF('Исходные данные'!F19&lt;=1500,0.022*2,IF('Исходные данные'!F19&lt;=2000,0.033*2,IF('Исходные данные'!F19&lt;=2500,0.048*2,)))))</f>
        <v>1.6E-2</v>
      </c>
      <c r="AH22">
        <f t="shared" si="0"/>
        <v>0</v>
      </c>
      <c r="AI22" s="1">
        <f t="shared" si="2"/>
        <v>-5.5</v>
      </c>
      <c r="AJ22" s="1">
        <f>'Исходные данные'!G19-5.5</f>
        <v>-5.5</v>
      </c>
      <c r="AK22" s="1">
        <f>IF(AJ22&gt;1500,'Исходные данные'!H19*2*2,'Исходные данные'!H19*2)</f>
        <v>0</v>
      </c>
      <c r="AM22" s="1">
        <f t="shared" si="3"/>
        <v>0</v>
      </c>
      <c r="AN22" s="1">
        <f t="shared" si="4"/>
        <v>0</v>
      </c>
      <c r="AO22" s="1">
        <f>IF(I22&gt;0,0.011*'Труматик гермики'!R20*2,0)</f>
        <v>0</v>
      </c>
      <c r="AP22" s="1">
        <f t="shared" si="5"/>
        <v>0</v>
      </c>
      <c r="AQ22" s="1">
        <f t="shared" si="6"/>
        <v>0</v>
      </c>
      <c r="AR22" s="1">
        <f t="shared" si="7"/>
        <v>0</v>
      </c>
      <c r="BA22">
        <f t="shared" si="8"/>
        <v>0</v>
      </c>
      <c r="BB22">
        <f t="shared" si="9"/>
        <v>0</v>
      </c>
      <c r="BC22">
        <f t="shared" si="10"/>
        <v>0</v>
      </c>
      <c r="BD22" s="1">
        <f t="shared" si="1"/>
        <v>0</v>
      </c>
    </row>
    <row r="23" spans="1:56">
      <c r="A23" s="481"/>
      <c r="B23" s="482"/>
      <c r="C23" s="483"/>
      <c r="D23" s="483"/>
      <c r="E23" s="135">
        <f>'Исходные данные'!B20</f>
        <v>0</v>
      </c>
      <c r="F23" s="108">
        <f>'Исходные данные'!C20</f>
        <v>0</v>
      </c>
      <c r="G23" s="108">
        <f>'Исходные данные'!D20</f>
        <v>0</v>
      </c>
      <c r="H23" s="108"/>
      <c r="I23" s="129">
        <f>IF('Исходные данные'!M20=1,'Исходные данные'!F20-1.5,IF('Исходные данные'!M20=2,'Исходные данные'!F20-1.5,IF('Исходные данные'!M20=3,'Исходные данные'!F20-1.5,IF('Исходные данные'!M20=4,"---",0))))</f>
        <v>0</v>
      </c>
      <c r="J23" s="110" t="str">
        <f>IF('Исходные данные'!M20=1,'Исходные данные'!H20*2,IF('Исходные данные'!M20=2,'Исходные данные'!H20*2,IF('Исходные данные'!M20=3,'Исходные данные'!H20*2,IF('Исходные данные'!M20=4,'Исходные данные'!H20*2,"---"))))</f>
        <v>---</v>
      </c>
      <c r="K23" s="108" t="str">
        <f>'Труматик гермики'!O21</f>
        <v>---</v>
      </c>
      <c r="L23" s="384">
        <f>IF(I23&gt;0,('Исходные данные'!F20-1.5-('Труматик гермики'!R21-1)*150)/2,0)</f>
        <v>0</v>
      </c>
      <c r="M23" s="79" t="str">
        <f>IF('Исходные данные'!L20=1,"сталь 65Г",IF('Исходные данные'!L20=2,"сталь 65Г",IF('Исходные данные'!L20=3,"бронза",IF('Исходные данные'!L20=4,"сталь 65Г","---"))))</f>
        <v>---</v>
      </c>
      <c r="N23" s="79">
        <f>IF(M23="бронза",(('Исходные данные'!F20-1.5)*J23)+20,0)</f>
        <v>0</v>
      </c>
      <c r="O23" s="388" t="str">
        <f>IF('Исходные данные'!V20=2,'Исходные данные'!F20+60,"---")</f>
        <v>---</v>
      </c>
      <c r="P23" s="108" t="s">
        <v>294</v>
      </c>
      <c r="Q23" s="385">
        <f>IF('Исходные данные'!V20=0,0,IF('Исходные данные'!M20=2,60,60))</f>
        <v>0</v>
      </c>
      <c r="R23" s="395">
        <f>IF('Исходные данные'!V20=2,'Исходные данные'!H20*1,0)</f>
        <v>0</v>
      </c>
      <c r="S23" s="398">
        <f>IF('Исходные данные'!L20=3,'Ножницы упор'!F21,0)</f>
        <v>0</v>
      </c>
      <c r="T23" s="417">
        <f>IF('Исходные данные'!L20=3,AI23,0)</f>
        <v>0</v>
      </c>
      <c r="U23" s="417">
        <f>IF('Исходные данные'!L20=3,AK23,0)</f>
        <v>0</v>
      </c>
      <c r="V23" s="401">
        <f t="shared" si="11"/>
        <v>0</v>
      </c>
      <c r="W23" s="108"/>
      <c r="X23" s="1"/>
      <c r="Y23" s="1"/>
      <c r="Z23" s="137"/>
      <c r="AA23" s="481"/>
      <c r="AC23" s="464"/>
      <c r="AE23" t="str">
        <f>IFERROR(((('Исходные данные'!F20-2)-(('Труматик гермики'!R21-1)*'Задание Ножницы лента'!K23))/2),"---")</f>
        <v>---</v>
      </c>
      <c r="AG23">
        <f>IF('Исходные данные'!F20&lt;=500,0.008*2,IF('Исходные данные'!F20&lt;=1000,0.014*2,IF('Исходные данные'!F20&lt;=1500,0.022*2,IF('Исходные данные'!F20&lt;=2000,0.033*2,IF('Исходные данные'!F20&lt;=2500,0.048*2,)))))</f>
        <v>1.6E-2</v>
      </c>
      <c r="AH23">
        <f t="shared" si="0"/>
        <v>0</v>
      </c>
      <c r="AI23" s="1">
        <f t="shared" si="2"/>
        <v>-5.5</v>
      </c>
      <c r="AJ23" s="1">
        <f>'Исходные данные'!G20-5.5</f>
        <v>-5.5</v>
      </c>
      <c r="AK23" s="1">
        <f>IF(AJ23&gt;1500,'Исходные данные'!H20*2*2,'Исходные данные'!H20*2)</f>
        <v>0</v>
      </c>
      <c r="AM23" s="1">
        <f t="shared" si="3"/>
        <v>0</v>
      </c>
      <c r="AN23" s="1">
        <f t="shared" si="4"/>
        <v>0</v>
      </c>
      <c r="AO23" s="1">
        <f>IF(I23&gt;0,0.011*'Труматик гермики'!R21*2,0)</f>
        <v>0</v>
      </c>
      <c r="AP23" s="1">
        <f t="shared" si="5"/>
        <v>0</v>
      </c>
      <c r="AQ23" s="1">
        <f t="shared" si="6"/>
        <v>0</v>
      </c>
      <c r="AR23" s="1">
        <f t="shared" si="7"/>
        <v>0</v>
      </c>
      <c r="BA23">
        <f t="shared" si="8"/>
        <v>0</v>
      </c>
      <c r="BB23">
        <f t="shared" si="9"/>
        <v>0</v>
      </c>
      <c r="BC23">
        <f t="shared" si="10"/>
        <v>0</v>
      </c>
      <c r="BD23" s="1">
        <f t="shared" si="1"/>
        <v>0</v>
      </c>
    </row>
    <row r="24" spans="1:56">
      <c r="A24" s="481"/>
      <c r="B24" s="482"/>
      <c r="C24" s="483"/>
      <c r="D24" s="483"/>
      <c r="E24" s="135">
        <f>'Исходные данные'!B21</f>
        <v>0</v>
      </c>
      <c r="F24" s="108">
        <f>'Исходные данные'!C21</f>
        <v>0</v>
      </c>
      <c r="G24" s="108">
        <f>'Исходные данные'!D21</f>
        <v>0</v>
      </c>
      <c r="H24" s="108"/>
      <c r="I24" s="129">
        <f>IF('Исходные данные'!M21=1,'Исходные данные'!F21-1.5,IF('Исходные данные'!M21=2,'Исходные данные'!F21-1.5,IF('Исходные данные'!M21=3,'Исходные данные'!F21-1.5,IF('Исходные данные'!M21=4,"---",0))))</f>
        <v>0</v>
      </c>
      <c r="J24" s="110" t="str">
        <f>IF('Исходные данные'!M21=1,'Исходные данные'!H21*2,IF('Исходные данные'!M21=2,'Исходные данные'!H21*2,IF('Исходные данные'!M21=3,'Исходные данные'!H21*2,IF('Исходные данные'!M21=4,'Исходные данные'!H21*2,"---"))))</f>
        <v>---</v>
      </c>
      <c r="K24" s="108" t="str">
        <f>'Труматик гермики'!O22</f>
        <v>---</v>
      </c>
      <c r="L24" s="384">
        <f>IF(I24&gt;0,('Исходные данные'!F21-1.5-('Труматик гермики'!R22-1)*150)/2,0)</f>
        <v>0</v>
      </c>
      <c r="M24" s="79" t="str">
        <f>IF('Исходные данные'!L21=1,"сталь 65Г",IF('Исходные данные'!L21=2,"сталь 65Г",IF('Исходные данные'!L21=3,"бронза",IF('Исходные данные'!L21=4,"сталь 65Г","---"))))</f>
        <v>---</v>
      </c>
      <c r="N24" s="79">
        <f>IF(M24="бронза",(('Исходные данные'!F21-1.5)*J24)+20,0)</f>
        <v>0</v>
      </c>
      <c r="O24" s="388" t="str">
        <f>IF('Исходные данные'!V21=2,'Исходные данные'!F21+60,"---")</f>
        <v>---</v>
      </c>
      <c r="P24" s="108" t="s">
        <v>294</v>
      </c>
      <c r="Q24" s="385">
        <f>IF('Исходные данные'!V21=0,0,IF('Исходные данные'!M21=2,60,60))</f>
        <v>0</v>
      </c>
      <c r="R24" s="395">
        <f>IF('Исходные данные'!V21=2,'Исходные данные'!H21*1,0)</f>
        <v>0</v>
      </c>
      <c r="S24" s="398">
        <f>IF('Исходные данные'!L21=3,'Ножницы упор'!F22,0)</f>
        <v>0</v>
      </c>
      <c r="T24" s="417">
        <f>IF('Исходные данные'!L21=3,AI24,0)</f>
        <v>0</v>
      </c>
      <c r="U24" s="417">
        <f>IF('Исходные данные'!L21=3,AK24,0)</f>
        <v>0</v>
      </c>
      <c r="V24" s="401">
        <f t="shared" si="11"/>
        <v>0</v>
      </c>
      <c r="W24" s="108"/>
      <c r="X24" s="1"/>
      <c r="Y24" s="1"/>
      <c r="Z24" s="137"/>
      <c r="AA24" s="481"/>
      <c r="AC24" s="464"/>
      <c r="AE24" t="str">
        <f>IFERROR(((('Исходные данные'!F21-2)-(('Труматик гермики'!R22-1)*'Задание Ножницы лента'!K24))/2),"---")</f>
        <v>---</v>
      </c>
      <c r="AG24">
        <f>IF('Исходные данные'!F21&lt;=500,0.008*2,IF('Исходные данные'!F21&lt;=1000,0.014*2,IF('Исходные данные'!F21&lt;=1500,0.022*2,IF('Исходные данные'!F21&lt;=2000,0.033*2,IF('Исходные данные'!F21&lt;=2500,0.048*2,)))))</f>
        <v>1.6E-2</v>
      </c>
      <c r="AH24">
        <f t="shared" si="0"/>
        <v>0</v>
      </c>
      <c r="AI24" s="1">
        <f t="shared" si="2"/>
        <v>-5.5</v>
      </c>
      <c r="AJ24" s="1">
        <f>'Исходные данные'!G21-5.5</f>
        <v>-5.5</v>
      </c>
      <c r="AK24" s="1">
        <f>IF(AJ24&gt;1500,'Исходные данные'!H21*2*2,'Исходные данные'!H21*2)</f>
        <v>0</v>
      </c>
      <c r="AM24" s="1">
        <f t="shared" si="3"/>
        <v>0</v>
      </c>
      <c r="AN24" s="1">
        <f t="shared" si="4"/>
        <v>0</v>
      </c>
      <c r="AO24" s="1">
        <f>IF(I24&gt;0,0.011*'Труматик гермики'!R22*2,0)</f>
        <v>0</v>
      </c>
      <c r="AP24" s="1">
        <f t="shared" si="5"/>
        <v>0</v>
      </c>
      <c r="AQ24" s="1">
        <f t="shared" si="6"/>
        <v>0</v>
      </c>
      <c r="AR24" s="1">
        <f t="shared" si="7"/>
        <v>0</v>
      </c>
      <c r="BA24">
        <f t="shared" si="8"/>
        <v>0</v>
      </c>
      <c r="BB24">
        <f t="shared" si="9"/>
        <v>0</v>
      </c>
      <c r="BC24">
        <f t="shared" si="10"/>
        <v>0</v>
      </c>
      <c r="BD24" s="1">
        <f t="shared" si="1"/>
        <v>0</v>
      </c>
    </row>
    <row r="25" spans="1:56">
      <c r="A25" s="481"/>
      <c r="B25" s="482"/>
      <c r="C25" s="483"/>
      <c r="D25" s="483"/>
      <c r="E25" s="135">
        <f>'Исходные данные'!B22</f>
        <v>0</v>
      </c>
      <c r="F25" s="108">
        <f>'Исходные данные'!C22</f>
        <v>0</v>
      </c>
      <c r="G25" s="108">
        <f>'Исходные данные'!D22</f>
        <v>0</v>
      </c>
      <c r="H25" s="108"/>
      <c r="I25" s="129">
        <f>IF('Исходные данные'!M22=1,'Исходные данные'!F22-1.5,IF('Исходные данные'!M22=2,'Исходные данные'!F22-1.5,IF('Исходные данные'!M22=3,'Исходные данные'!F22-1.5,IF('Исходные данные'!M22=4,"---",0))))</f>
        <v>0</v>
      </c>
      <c r="J25" s="110" t="str">
        <f>IF('Исходные данные'!M22=1,'Исходные данные'!H22*2,IF('Исходные данные'!M22=2,'Исходные данные'!H22*2,IF('Исходные данные'!M22=3,'Исходные данные'!H22*2,IF('Исходные данные'!M22=4,'Исходные данные'!H22*2,"---"))))</f>
        <v>---</v>
      </c>
      <c r="K25" s="108" t="str">
        <f>'Труматик гермики'!O23</f>
        <v>---</v>
      </c>
      <c r="L25" s="384">
        <f>IF(I25&gt;0,('Исходные данные'!F22-1.5-('Труматик гермики'!R23-1)*150)/2,0)</f>
        <v>0</v>
      </c>
      <c r="M25" s="79" t="str">
        <f>IF('Исходные данные'!L22=1,"сталь 65Г",IF('Исходные данные'!L22=2,"сталь 65Г",IF('Исходные данные'!L22=3,"бронза",IF('Исходные данные'!L22=4,"сталь 65Г","---"))))</f>
        <v>---</v>
      </c>
      <c r="N25" s="79">
        <f>IF(M25="бронза",(('Исходные данные'!F22-1.5)*J25)+20,0)</f>
        <v>0</v>
      </c>
      <c r="O25" s="388" t="str">
        <f>IF('Исходные данные'!V22=2,'Исходные данные'!F22+60,"---")</f>
        <v>---</v>
      </c>
      <c r="P25" s="108" t="s">
        <v>294</v>
      </c>
      <c r="Q25" s="385">
        <f>IF('Исходные данные'!V22=0,0,IF('Исходные данные'!M22=2,60,60))</f>
        <v>0</v>
      </c>
      <c r="R25" s="395">
        <f>IF('Исходные данные'!V22=2,'Исходные данные'!H22*1,0)</f>
        <v>0</v>
      </c>
      <c r="S25" s="398">
        <f>IF('Исходные данные'!L22=3,'Ножницы упор'!F23,0)</f>
        <v>0</v>
      </c>
      <c r="T25" s="417">
        <f>IF('Исходные данные'!L22=3,AI25,0)</f>
        <v>0</v>
      </c>
      <c r="U25" s="417">
        <f>IF('Исходные данные'!L22=3,AK25,0)</f>
        <v>0</v>
      </c>
      <c r="V25" s="401">
        <f t="shared" si="11"/>
        <v>0</v>
      </c>
      <c r="W25" s="108"/>
      <c r="X25" s="1"/>
      <c r="Y25" s="1"/>
      <c r="Z25" s="137"/>
      <c r="AA25" s="481"/>
      <c r="AC25" s="464"/>
      <c r="AE25" t="str">
        <f>IFERROR(((('Исходные данные'!F22-2)-(('Труматик гермики'!R23-1)*'Задание Ножницы лента'!K25))/2),"---")</f>
        <v>---</v>
      </c>
      <c r="AG25">
        <f>IF('Исходные данные'!F22&lt;=500,0.008*2,IF('Исходные данные'!F22&lt;=1000,0.014*2,IF('Исходные данные'!F22&lt;=1500,0.022*2,IF('Исходные данные'!F22&lt;=2000,0.033*2,IF('Исходные данные'!F22&lt;=2500,0.048*2,)))))</f>
        <v>1.6E-2</v>
      </c>
      <c r="AH25">
        <f t="shared" si="0"/>
        <v>0</v>
      </c>
      <c r="AI25" s="1">
        <f t="shared" si="2"/>
        <v>-5.5</v>
      </c>
      <c r="AJ25" s="1">
        <f>'Исходные данные'!G22-5.5</f>
        <v>-5.5</v>
      </c>
      <c r="AK25" s="1">
        <f>IF(AJ25&gt;1500,'Исходные данные'!H22*2*2,'Исходные данные'!H22*2)</f>
        <v>0</v>
      </c>
      <c r="AM25" s="1">
        <f t="shared" si="3"/>
        <v>0</v>
      </c>
      <c r="AN25" s="1">
        <f t="shared" si="4"/>
        <v>0</v>
      </c>
      <c r="AO25" s="1">
        <f>IF(I25&gt;0,0.011*'Труматик гермики'!R23*2,0)</f>
        <v>0</v>
      </c>
      <c r="AP25" s="1">
        <f t="shared" si="5"/>
        <v>0</v>
      </c>
      <c r="AQ25" s="1">
        <f t="shared" si="6"/>
        <v>0</v>
      </c>
      <c r="AR25" s="1">
        <f t="shared" si="7"/>
        <v>0</v>
      </c>
      <c r="BA25">
        <f t="shared" si="8"/>
        <v>0</v>
      </c>
      <c r="BB25">
        <f t="shared" si="9"/>
        <v>0</v>
      </c>
      <c r="BC25">
        <f t="shared" si="10"/>
        <v>0</v>
      </c>
      <c r="BD25" s="1">
        <f t="shared" si="1"/>
        <v>0</v>
      </c>
    </row>
    <row r="26" spans="1:56">
      <c r="A26" s="481"/>
      <c r="B26" s="482"/>
      <c r="C26" s="483"/>
      <c r="D26" s="483"/>
      <c r="E26" s="135">
        <f>'Исходные данные'!B23</f>
        <v>0</v>
      </c>
      <c r="F26" s="108">
        <f>'Исходные данные'!C23</f>
        <v>0</v>
      </c>
      <c r="G26" s="108">
        <f>'Исходные данные'!D23</f>
        <v>0</v>
      </c>
      <c r="H26" s="108"/>
      <c r="I26" s="129">
        <f>IF('Исходные данные'!M23=1,'Исходные данные'!F23-1.5,IF('Исходные данные'!M23=2,'Исходные данные'!F23-1.5,IF('Исходные данные'!M23=3,'Исходные данные'!F23-1.5,IF('Исходные данные'!M23=4,"---",0))))</f>
        <v>0</v>
      </c>
      <c r="J26" s="110" t="str">
        <f>IF('Исходные данные'!M23=1,'Исходные данные'!H23*2,IF('Исходные данные'!M23=2,'Исходные данные'!H23*2,IF('Исходные данные'!M23=3,'Исходные данные'!H23*2,IF('Исходные данные'!M23=4,'Исходные данные'!H23*2,"---"))))</f>
        <v>---</v>
      </c>
      <c r="K26" s="108" t="str">
        <f>'Труматик гермики'!O24</f>
        <v>---</v>
      </c>
      <c r="L26" s="384">
        <f>IF(I26&gt;0,('Исходные данные'!F23-1.5-('Труматик гермики'!R24-1)*150)/2,0)</f>
        <v>0</v>
      </c>
      <c r="M26" s="79" t="str">
        <f>IF('Исходные данные'!L23=1,"сталь 65Г",IF('Исходные данные'!L23=2,"сталь 65Г",IF('Исходные данные'!L23=3,"бронза",IF('Исходные данные'!L23=4,"сталь 65Г","---"))))</f>
        <v>---</v>
      </c>
      <c r="N26" s="79">
        <f>IF(M26="бронза",(('Исходные данные'!F23-1.5)*J26)+20,0)</f>
        <v>0</v>
      </c>
      <c r="O26" s="388" t="str">
        <f>IF('Исходные данные'!V23=2,'Исходные данные'!F23+60,"---")</f>
        <v>---</v>
      </c>
      <c r="P26" s="108" t="s">
        <v>294</v>
      </c>
      <c r="Q26" s="385">
        <f>IF('Исходные данные'!V23=0,0,IF('Исходные данные'!M23=2,60,60))</f>
        <v>0</v>
      </c>
      <c r="R26" s="395">
        <f>IF('Исходные данные'!V23=2,'Исходные данные'!H23*1,0)</f>
        <v>0</v>
      </c>
      <c r="S26" s="398">
        <f>IF('Исходные данные'!L23=3,'Ножницы упор'!F24,0)</f>
        <v>0</v>
      </c>
      <c r="T26" s="417">
        <f>IF('Исходные данные'!L23=3,AI26,0)</f>
        <v>0</v>
      </c>
      <c r="U26" s="417">
        <f>IF('Исходные данные'!L23=3,AK26,0)</f>
        <v>0</v>
      </c>
      <c r="V26" s="401">
        <f t="shared" si="11"/>
        <v>0</v>
      </c>
      <c r="W26" s="108"/>
      <c r="X26" s="1"/>
      <c r="Y26" s="1"/>
      <c r="Z26" s="137"/>
      <c r="AC26" s="464"/>
      <c r="AE26" t="str">
        <f>IFERROR(((('Исходные данные'!F23-2)-(('Труматик гермики'!R24-1)*'Задание Ножницы лента'!K26))/2),"---")</f>
        <v>---</v>
      </c>
      <c r="AG26">
        <f>IF('Исходные данные'!F23&lt;=500,0.008*2,IF('Исходные данные'!F23&lt;=1000,0.014*2,IF('Исходные данные'!F23&lt;=1500,0.022*2,IF('Исходные данные'!F23&lt;=2000,0.033*2,IF('Исходные данные'!F23&lt;=2500,0.048*2,)))))</f>
        <v>1.6E-2</v>
      </c>
      <c r="AH26">
        <f t="shared" si="0"/>
        <v>0</v>
      </c>
      <c r="AI26" s="1">
        <f t="shared" si="2"/>
        <v>-5.5</v>
      </c>
      <c r="AJ26" s="1">
        <f>'Исходные данные'!G23-5.5</f>
        <v>-5.5</v>
      </c>
      <c r="AK26" s="1">
        <f>IF(AJ26&gt;1500,'Исходные данные'!H23*2*2,'Исходные данные'!H23*2)</f>
        <v>0</v>
      </c>
      <c r="AM26" s="1">
        <f t="shared" si="3"/>
        <v>0</v>
      </c>
      <c r="AN26" s="1">
        <f t="shared" si="4"/>
        <v>0</v>
      </c>
      <c r="AO26" s="1">
        <f>IF(I26&gt;0,0.011*'Труматик гермики'!R24*2,0)</f>
        <v>0</v>
      </c>
      <c r="AP26" s="1">
        <f t="shared" si="5"/>
        <v>0</v>
      </c>
      <c r="AQ26" s="1">
        <f t="shared" si="6"/>
        <v>0</v>
      </c>
      <c r="AR26" s="1">
        <f t="shared" si="7"/>
        <v>0</v>
      </c>
      <c r="BA26">
        <f t="shared" si="8"/>
        <v>0</v>
      </c>
      <c r="BB26">
        <f t="shared" si="9"/>
        <v>0</v>
      </c>
      <c r="BC26">
        <f t="shared" si="10"/>
        <v>0</v>
      </c>
      <c r="BD26" s="1">
        <f t="shared" si="1"/>
        <v>0</v>
      </c>
    </row>
    <row r="27" spans="1:56">
      <c r="A27" s="481"/>
      <c r="B27" s="482"/>
      <c r="C27" s="483"/>
      <c r="D27" s="483"/>
      <c r="E27" s="135">
        <f>'Исходные данные'!B24</f>
        <v>0</v>
      </c>
      <c r="F27" s="108">
        <f>'Исходные данные'!C24</f>
        <v>0</v>
      </c>
      <c r="G27" s="108">
        <f>'Исходные данные'!D24</f>
        <v>0</v>
      </c>
      <c r="H27" s="108"/>
      <c r="I27" s="129">
        <f>IF('Исходные данные'!M24=1,'Исходные данные'!F24-1.5,IF('Исходные данные'!M24=2,'Исходные данные'!F24-1.5,IF('Исходные данные'!M24=3,'Исходные данные'!F24-1.5,IF('Исходные данные'!M24=4,"---",0))))</f>
        <v>0</v>
      </c>
      <c r="J27" s="110" t="str">
        <f>IF('Исходные данные'!M24=1,'Исходные данные'!H24*2,IF('Исходные данные'!M24=2,'Исходные данные'!H24*2,IF('Исходные данные'!M24=3,'Исходные данные'!H24*2,IF('Исходные данные'!M24=4,'Исходные данные'!H24*2,"---"))))</f>
        <v>---</v>
      </c>
      <c r="K27" s="108" t="str">
        <f>'Труматик гермики'!O25</f>
        <v>---</v>
      </c>
      <c r="L27" s="384">
        <f>IF(I27&gt;0,('Исходные данные'!F24-1.5-('Труматик гермики'!R25-1)*150)/2,0)</f>
        <v>0</v>
      </c>
      <c r="M27" s="79" t="str">
        <f>IF('Исходные данные'!L24=1,"сталь 65Г",IF('Исходные данные'!L24=2,"сталь 65Г",IF('Исходные данные'!L24=3,"бронза",IF('Исходные данные'!L24=4,"сталь 65Г","---"))))</f>
        <v>---</v>
      </c>
      <c r="N27" s="79">
        <f>IF(M27="бронза",(('Исходные данные'!F24-1.5)*J27)+20,0)</f>
        <v>0</v>
      </c>
      <c r="O27" s="388" t="str">
        <f>IF('Исходные данные'!V24=2,'Исходные данные'!F24+60,"---")</f>
        <v>---</v>
      </c>
      <c r="P27" s="108" t="s">
        <v>294</v>
      </c>
      <c r="Q27" s="385">
        <f>IF('Исходные данные'!V24=0,0,IF('Исходные данные'!M24=2,60,60))</f>
        <v>0</v>
      </c>
      <c r="R27" s="395">
        <f>IF('Исходные данные'!V24=2,'Исходные данные'!H24*1,0)</f>
        <v>0</v>
      </c>
      <c r="S27" s="398">
        <f>IF('Исходные данные'!L24=3,'Ножницы упор'!F25,0)</f>
        <v>0</v>
      </c>
      <c r="T27" s="417">
        <f>IF('Исходные данные'!L24=3,AI27,0)</f>
        <v>0</v>
      </c>
      <c r="U27" s="417">
        <f>IF('Исходные данные'!L24=3,AK27,0)</f>
        <v>0</v>
      </c>
      <c r="V27" s="401">
        <f t="shared" si="11"/>
        <v>0</v>
      </c>
      <c r="W27" s="108"/>
      <c r="X27" s="1"/>
      <c r="Y27" s="1"/>
      <c r="Z27" s="137"/>
      <c r="AA27" s="86"/>
      <c r="AE27" t="str">
        <f>IFERROR(((('Исходные данные'!F24-2)-(('Труматик гермики'!R25-1)*'Задание Ножницы лента'!K27))/2),"---")</f>
        <v>---</v>
      </c>
      <c r="AG27">
        <f>IF('Исходные данные'!F24&lt;=500,0.008*2,IF('Исходные данные'!F24&lt;=1000,0.014*2,IF('Исходные данные'!F24&lt;=1500,0.022*2,IF('Исходные данные'!F24&lt;=2000,0.033*2,IF('Исходные данные'!F24&lt;=2500,0.048*2,)))))</f>
        <v>1.6E-2</v>
      </c>
      <c r="AH27">
        <f t="shared" si="0"/>
        <v>0</v>
      </c>
      <c r="AI27" s="1">
        <f t="shared" si="2"/>
        <v>-5.5</v>
      </c>
      <c r="AJ27" s="1">
        <f>'Исходные данные'!G24-5.5</f>
        <v>-5.5</v>
      </c>
      <c r="AK27" s="1">
        <f>IF(AJ27&gt;1500,'Исходные данные'!H24*2*2,'Исходные данные'!H24*2)</f>
        <v>0</v>
      </c>
      <c r="AM27" s="1">
        <f t="shared" si="3"/>
        <v>0</v>
      </c>
      <c r="AN27" s="1">
        <f t="shared" si="4"/>
        <v>0</v>
      </c>
      <c r="AO27" s="1">
        <f>IF(I27&gt;0,0.011*'Труматик гермики'!R25*2,0)</f>
        <v>0</v>
      </c>
      <c r="AP27" s="1">
        <f t="shared" si="5"/>
        <v>0</v>
      </c>
      <c r="AQ27" s="1">
        <f t="shared" si="6"/>
        <v>0</v>
      </c>
      <c r="AR27" s="1">
        <f t="shared" si="7"/>
        <v>0</v>
      </c>
      <c r="BA27">
        <f t="shared" si="8"/>
        <v>0</v>
      </c>
      <c r="BB27">
        <f t="shared" si="9"/>
        <v>0</v>
      </c>
      <c r="BC27">
        <f t="shared" si="10"/>
        <v>0</v>
      </c>
      <c r="BD27" s="1">
        <f t="shared" si="1"/>
        <v>0</v>
      </c>
    </row>
    <row r="28" spans="1:56">
      <c r="A28" s="481"/>
      <c r="B28" s="482"/>
      <c r="C28" s="483"/>
      <c r="D28" s="483"/>
      <c r="E28" s="135">
        <f>'Исходные данные'!B25</f>
        <v>0</v>
      </c>
      <c r="F28" s="108">
        <f>'Исходные данные'!C25</f>
        <v>0</v>
      </c>
      <c r="G28" s="108">
        <f>'Исходные данные'!D25</f>
        <v>0</v>
      </c>
      <c r="H28" s="108"/>
      <c r="I28" s="129">
        <f>IF('Исходные данные'!M25=1,'Исходные данные'!F25-1.5,IF('Исходные данные'!M25=2,'Исходные данные'!F25-1.5,IF('Исходные данные'!M25=3,'Исходные данные'!F25-1.5,IF('Исходные данные'!M25=4,"---",0))))</f>
        <v>0</v>
      </c>
      <c r="J28" s="110" t="str">
        <f>IF('Исходные данные'!M25=1,'Исходные данные'!H25*2,IF('Исходные данные'!M25=2,'Исходные данные'!H25*2,IF('Исходные данные'!M25=3,'Исходные данные'!H25*2,IF('Исходные данные'!M25=4,'Исходные данные'!H25*2,"---"))))</f>
        <v>---</v>
      </c>
      <c r="K28" s="108" t="str">
        <f>'Труматик гермики'!O26</f>
        <v>---</v>
      </c>
      <c r="L28" s="384">
        <f>IF(I28&gt;0,('Исходные данные'!F25-1.5-('Труматик гермики'!R26-1)*150)/2,0)</f>
        <v>0</v>
      </c>
      <c r="M28" s="79" t="str">
        <f>IF('Исходные данные'!L25=1,"сталь 65Г",IF('Исходные данные'!L25=2,"сталь 65Г",IF('Исходные данные'!L25=3,"бронза",IF('Исходные данные'!L25=4,"сталь 65Г","---"))))</f>
        <v>---</v>
      </c>
      <c r="N28" s="79">
        <f>IF(M28="бронза",(('Исходные данные'!F25-1.5)*J28)+20,0)</f>
        <v>0</v>
      </c>
      <c r="O28" s="388" t="str">
        <f>IF('Исходные данные'!V25=2,'Исходные данные'!F25+60,"---")</f>
        <v>---</v>
      </c>
      <c r="P28" s="108" t="s">
        <v>294</v>
      </c>
      <c r="Q28" s="385">
        <f>IF('Исходные данные'!V25=0,0,IF('Исходные данные'!M25=2,60,60))</f>
        <v>0</v>
      </c>
      <c r="R28" s="395">
        <f>IF('Исходные данные'!V25=2,'Исходные данные'!H25*1,0)</f>
        <v>0</v>
      </c>
      <c r="S28" s="398">
        <f>IF('Исходные данные'!L25=3,'Ножницы упор'!F26,0)</f>
        <v>0</v>
      </c>
      <c r="T28" s="417">
        <f>IF('Исходные данные'!L25=3,AI28,0)</f>
        <v>0</v>
      </c>
      <c r="U28" s="417">
        <f>IF('Исходные данные'!L25=3,AK28,0)</f>
        <v>0</v>
      </c>
      <c r="V28" s="401">
        <f t="shared" si="11"/>
        <v>0</v>
      </c>
      <c r="W28" s="108"/>
      <c r="X28" s="1"/>
      <c r="Y28" s="1"/>
      <c r="Z28" s="137"/>
      <c r="AA28" s="86"/>
      <c r="AE28" t="str">
        <f>IFERROR(((('Исходные данные'!F25-2)-(('Труматик гермики'!R26-1)*'Задание Ножницы лента'!K28))/2),"---")</f>
        <v>---</v>
      </c>
      <c r="AG28">
        <f>IF('Исходные данные'!F25&lt;=500,0.008*2,IF('Исходные данные'!F25&lt;=1000,0.014*2,IF('Исходные данные'!F25&lt;=1500,0.022*2,IF('Исходные данные'!F25&lt;=2000,0.033*2,IF('Исходные данные'!F25&lt;=2500,0.048*2,)))))</f>
        <v>1.6E-2</v>
      </c>
      <c r="AH28">
        <f t="shared" si="0"/>
        <v>0</v>
      </c>
      <c r="AI28" s="1">
        <f t="shared" si="2"/>
        <v>-5.5</v>
      </c>
      <c r="AJ28" s="1">
        <f>'Исходные данные'!G25-5.5</f>
        <v>-5.5</v>
      </c>
      <c r="AK28" s="1">
        <f>IF(AJ28&gt;1500,'Исходные данные'!H25*2*2,'Исходные данные'!H25*2)</f>
        <v>0</v>
      </c>
      <c r="AM28" s="1">
        <f t="shared" si="3"/>
        <v>0</v>
      </c>
      <c r="AN28" s="1">
        <f t="shared" si="4"/>
        <v>0</v>
      </c>
      <c r="AO28" s="1">
        <f>IF(I28&gt;0,0.011*'Труматик гермики'!R26*2,0)</f>
        <v>0</v>
      </c>
      <c r="AP28" s="1">
        <f t="shared" si="5"/>
        <v>0</v>
      </c>
      <c r="AQ28" s="1">
        <f t="shared" si="6"/>
        <v>0</v>
      </c>
      <c r="AR28" s="1">
        <f t="shared" si="7"/>
        <v>0</v>
      </c>
      <c r="BA28">
        <f t="shared" si="8"/>
        <v>0</v>
      </c>
      <c r="BB28">
        <f t="shared" si="9"/>
        <v>0</v>
      </c>
      <c r="BC28">
        <f t="shared" si="10"/>
        <v>0</v>
      </c>
      <c r="BD28" s="1">
        <f t="shared" si="1"/>
        <v>0</v>
      </c>
    </row>
    <row r="29" spans="1:56" ht="15.75" thickBot="1">
      <c r="E29" s="135">
        <f>'Исходные данные'!B26</f>
        <v>0</v>
      </c>
      <c r="F29" s="92">
        <f>'Исходные данные'!C26</f>
        <v>0</v>
      </c>
      <c r="G29" s="92">
        <f>'Исходные данные'!D26</f>
        <v>0</v>
      </c>
      <c r="H29" s="92"/>
      <c r="I29" s="129">
        <f>IF('Исходные данные'!M26=1,'Исходные данные'!F26-1.5,IF('Исходные данные'!M26=2,'Исходные данные'!F26-1.5,IF('Исходные данные'!M26=3,'Исходные данные'!F26-1.5,IF('Исходные данные'!M26=4,"---",0))))</f>
        <v>0</v>
      </c>
      <c r="J29" s="138" t="str">
        <f>IF('Исходные данные'!M26=1,'Исходные данные'!H26*2,IF('Исходные данные'!M26=2,'Исходные данные'!H26*2,IF('Исходные данные'!M26=3,'Исходные данные'!H26*2,IF('Исходные данные'!M26=4,'Исходные данные'!H26*2,"---"))))</f>
        <v>---</v>
      </c>
      <c r="K29" s="92" t="str">
        <f>'Труматик гермики'!O27</f>
        <v>---</v>
      </c>
      <c r="L29" s="384">
        <f>IF(I29&gt;0,('Исходные данные'!F26-1.5-('Труматик гермики'!R27-1)*150)/2,0)</f>
        <v>0</v>
      </c>
      <c r="M29" s="79" t="str">
        <f>IF('Исходные данные'!L26=1,"сталь 65Г",IF('Исходные данные'!L26=2,"сталь 65Г",IF('Исходные данные'!L26=3,"бронза",IF('Исходные данные'!L26=4,"сталь 65Г","---"))))</f>
        <v>---</v>
      </c>
      <c r="N29" s="79">
        <f>IF(M29="бронза",(('Исходные данные'!F26-1.5)*J29)+20,0)</f>
        <v>0</v>
      </c>
      <c r="O29" s="388" t="str">
        <f>IF('Исходные данные'!V26=2,'Исходные данные'!F26+60,"---")</f>
        <v>---</v>
      </c>
      <c r="P29" s="165" t="s">
        <v>294</v>
      </c>
      <c r="Q29" s="385">
        <f>IF('Исходные данные'!V26=0,0,IF('Исходные данные'!M26=2,60,60))</f>
        <v>0</v>
      </c>
      <c r="R29" s="395">
        <f>IF('Исходные данные'!V26=2,'Исходные данные'!H26*1,0)</f>
        <v>0</v>
      </c>
      <c r="S29" s="398">
        <f>IF('Исходные данные'!L26=3,'Ножницы упор'!F27,0)</f>
        <v>0</v>
      </c>
      <c r="T29" s="417">
        <f>IF('Исходные данные'!L26=3,AI29,0)</f>
        <v>0</v>
      </c>
      <c r="U29" s="402">
        <f>IF('Исходные данные'!L26=3,AK29,0)</f>
        <v>0</v>
      </c>
      <c r="V29" s="402">
        <f t="shared" si="11"/>
        <v>0</v>
      </c>
      <c r="W29" s="92"/>
      <c r="X29" s="127"/>
      <c r="Y29" s="127"/>
      <c r="Z29" s="84"/>
      <c r="AA29" s="86"/>
      <c r="AE29" t="str">
        <f>IFERROR(((('Исходные данные'!F26-2)-(('Труматик гермики'!R27-1)*'Задание Ножницы лента'!K29))/2),"---")</f>
        <v>---</v>
      </c>
      <c r="AG29">
        <f>IF('Исходные данные'!F26&lt;=500,0.008*2,IF('Исходные данные'!F26&lt;=1000,0.014*2,IF('Исходные данные'!F26&lt;=1500,0.022*2,IF('Исходные данные'!F26&lt;=2000,0.033*2,IF('Исходные данные'!F26&lt;=2500,0.048*2,)))))</f>
        <v>1.6E-2</v>
      </c>
      <c r="AH29">
        <f t="shared" si="0"/>
        <v>0</v>
      </c>
      <c r="AI29" s="1">
        <f t="shared" si="2"/>
        <v>-5.5</v>
      </c>
      <c r="AJ29" s="1">
        <f>'Исходные данные'!G26-5.5</f>
        <v>-5.5</v>
      </c>
      <c r="AK29" s="1">
        <f>IF(AJ29&gt;1500,'Исходные данные'!H26*2*2,'Исходные данные'!H26*2)</f>
        <v>0</v>
      </c>
      <c r="AM29" s="1">
        <f t="shared" si="3"/>
        <v>0</v>
      </c>
      <c r="AN29" s="1">
        <f t="shared" si="4"/>
        <v>0</v>
      </c>
      <c r="AO29" s="1">
        <f>IF(I29&gt;0,0.011*'Труматик гермики'!R27*2,0)</f>
        <v>0</v>
      </c>
      <c r="AP29" s="1">
        <f t="shared" si="5"/>
        <v>0</v>
      </c>
      <c r="AQ29" s="1">
        <f t="shared" si="6"/>
        <v>0</v>
      </c>
      <c r="AR29" s="1">
        <f t="shared" si="7"/>
        <v>0</v>
      </c>
      <c r="BA29">
        <f t="shared" si="8"/>
        <v>0</v>
      </c>
      <c r="BB29">
        <f t="shared" si="9"/>
        <v>0</v>
      </c>
      <c r="BC29">
        <f t="shared" si="10"/>
        <v>0</v>
      </c>
      <c r="BD29" s="1">
        <f t="shared" si="1"/>
        <v>0</v>
      </c>
    </row>
    <row r="30" spans="1:56" ht="15.75" thickBot="1">
      <c r="E30" s="44" t="s">
        <v>394</v>
      </c>
      <c r="F30" t="s">
        <v>41</v>
      </c>
      <c r="G30" s="427" t="s">
        <v>43</v>
      </c>
      <c r="H30" s="427"/>
      <c r="I30" s="427"/>
      <c r="J30" s="427"/>
      <c r="L30" s="420">
        <f>AR30+BD30</f>
        <v>0</v>
      </c>
      <c r="M30" t="s">
        <v>79</v>
      </c>
      <c r="N30" s="360">
        <f>SUM(N9:N29)</f>
        <v>0</v>
      </c>
      <c r="O30" s="90" t="s">
        <v>305</v>
      </c>
      <c r="P30" s="91"/>
      <c r="Q30" s="91"/>
      <c r="R30" s="147">
        <f>AH30</f>
        <v>0</v>
      </c>
      <c r="S30" s="400"/>
      <c r="T30" s="400"/>
      <c r="U30" s="418">
        <f>SUM(U9:U29)</f>
        <v>0</v>
      </c>
      <c r="V30" s="147">
        <f>SUM(V9:V29)</f>
        <v>0</v>
      </c>
      <c r="AG30" s="1">
        <f>SUM(AG9:AG29)</f>
        <v>0.33600000000000019</v>
      </c>
      <c r="AH30">
        <f>SUM(AH9:AH29)</f>
        <v>0</v>
      </c>
      <c r="AM30" s="72"/>
      <c r="AN30" s="1">
        <f>SUM(AN9:AN29)</f>
        <v>0</v>
      </c>
      <c r="AO30" s="1">
        <f>SUM(AO9:AO29)</f>
        <v>0</v>
      </c>
      <c r="AP30" s="419">
        <f>SUM(AP9:AP29)</f>
        <v>0</v>
      </c>
      <c r="AR30" s="1">
        <f>SUM(AR9:AR29)</f>
        <v>0</v>
      </c>
      <c r="BD30" s="419">
        <f>SUM(BD9:BD29)</f>
        <v>0</v>
      </c>
    </row>
    <row r="31" spans="1:56">
      <c r="E31" s="44" t="s">
        <v>396</v>
      </c>
      <c r="F31" t="s">
        <v>41</v>
      </c>
      <c r="G31" s="427" t="s">
        <v>58</v>
      </c>
      <c r="H31" s="427"/>
      <c r="I31" s="427"/>
      <c r="J31" s="427"/>
      <c r="L31" s="420">
        <f>AP30+AN30</f>
        <v>0</v>
      </c>
      <c r="M31" t="s">
        <v>79</v>
      </c>
    </row>
    <row r="32" spans="1:56">
      <c r="E32" s="44" t="s">
        <v>390</v>
      </c>
      <c r="F32" t="s">
        <v>41</v>
      </c>
      <c r="G32" s="427" t="s">
        <v>58</v>
      </c>
      <c r="H32" s="427"/>
      <c r="I32" s="427"/>
      <c r="J32" s="427"/>
      <c r="L32" s="420">
        <f>AO30</f>
        <v>0</v>
      </c>
      <c r="O32" s="415"/>
      <c r="P32" s="415"/>
      <c r="Q32" s="415"/>
      <c r="R32" s="415"/>
      <c r="S32" s="415"/>
      <c r="T32" s="415"/>
      <c r="U32" s="415"/>
      <c r="V32" s="415"/>
    </row>
    <row r="33" spans="5:23">
      <c r="E33" s="44"/>
      <c r="G33" s="415"/>
      <c r="H33" s="415"/>
      <c r="I33" s="415"/>
      <c r="J33" s="415"/>
      <c r="O33" s="415"/>
      <c r="P33" s="415"/>
      <c r="Q33" s="415"/>
      <c r="R33" s="415"/>
      <c r="S33" s="415"/>
      <c r="T33" s="415"/>
      <c r="U33" s="415"/>
      <c r="V33" s="415"/>
    </row>
    <row r="34" spans="5:23">
      <c r="E34" s="44"/>
      <c r="G34" s="415"/>
      <c r="H34" s="415"/>
      <c r="I34" s="415"/>
      <c r="J34" s="415"/>
      <c r="O34" s="415"/>
      <c r="P34" s="415"/>
      <c r="Q34" s="415"/>
      <c r="R34" s="415"/>
      <c r="S34" s="415"/>
      <c r="T34" s="415"/>
      <c r="U34" s="415"/>
      <c r="V34" s="415"/>
    </row>
    <row r="35" spans="5:23" ht="18.75">
      <c r="E35" t="s">
        <v>306</v>
      </c>
      <c r="F35" s="21"/>
      <c r="H35" s="426">
        <f>L30</f>
        <v>0</v>
      </c>
      <c r="I35" s="22"/>
    </row>
    <row r="36" spans="5:23">
      <c r="E36" t="s">
        <v>395</v>
      </c>
      <c r="H36" s="426">
        <f>L32+L31</f>
        <v>0</v>
      </c>
    </row>
    <row r="38" spans="5:23" ht="21">
      <c r="E38" s="47"/>
      <c r="F38" s="48"/>
      <c r="G38" s="48"/>
      <c r="H38" s="48"/>
      <c r="I38" s="48"/>
      <c r="J38" s="48"/>
      <c r="K38" s="48"/>
      <c r="L38" s="49"/>
      <c r="M38" s="49"/>
      <c r="N38" s="49"/>
      <c r="O38" s="111"/>
      <c r="P38" s="111"/>
      <c r="Q38" s="111"/>
      <c r="R38" s="111"/>
      <c r="S38" s="111"/>
      <c r="T38" s="111"/>
      <c r="U38" s="111"/>
      <c r="V38" s="111"/>
    </row>
    <row r="39" spans="5:23" ht="18.75">
      <c r="E39" s="47"/>
      <c r="F39" s="49"/>
      <c r="G39" s="49"/>
      <c r="H39" s="49"/>
      <c r="I39" s="49"/>
      <c r="J39" s="49"/>
      <c r="K39" s="49"/>
      <c r="L39" s="47"/>
      <c r="M39" s="47"/>
      <c r="N39" s="47"/>
      <c r="O39" s="103"/>
      <c r="P39" s="107"/>
      <c r="Q39" s="107"/>
      <c r="R39" s="103"/>
      <c r="S39" s="397"/>
      <c r="T39" s="397"/>
      <c r="U39" s="397"/>
      <c r="V39" s="397"/>
      <c r="W39" s="47"/>
    </row>
    <row r="40" spans="5:23" ht="18.75">
      <c r="E40" s="105"/>
      <c r="F40" s="105"/>
      <c r="H40" s="18"/>
      <c r="I40" s="18"/>
      <c r="J40" s="104"/>
      <c r="K40" s="113"/>
      <c r="L40" s="104"/>
      <c r="M40" s="104"/>
      <c r="N40" s="413"/>
      <c r="O40"/>
      <c r="P40"/>
      <c r="Q40"/>
      <c r="R40"/>
      <c r="S40"/>
      <c r="T40"/>
      <c r="U40"/>
      <c r="V40"/>
      <c r="W40" s="104"/>
    </row>
    <row r="41" spans="5:23">
      <c r="E41" s="18"/>
      <c r="F41" s="18"/>
      <c r="G41" s="18"/>
      <c r="H41" s="18"/>
      <c r="I41" s="18"/>
      <c r="J41" s="465"/>
      <c r="K41" s="465"/>
      <c r="L41" s="465"/>
      <c r="M41" s="465"/>
      <c r="N41" s="413"/>
      <c r="O41"/>
      <c r="P41"/>
      <c r="Q41"/>
      <c r="R41"/>
      <c r="S41"/>
      <c r="T41"/>
      <c r="U41"/>
      <c r="V41"/>
      <c r="W41" s="104"/>
    </row>
    <row r="42" spans="5:23">
      <c r="E42" s="18"/>
      <c r="F42" s="18"/>
      <c r="G42" s="18"/>
      <c r="H42" s="18"/>
      <c r="I42" s="18"/>
      <c r="K42" s="18"/>
      <c r="L42" s="18"/>
      <c r="M42" s="104"/>
      <c r="N42" s="413"/>
      <c r="O42"/>
      <c r="P42"/>
      <c r="Q42"/>
      <c r="R42"/>
      <c r="S42"/>
      <c r="T42"/>
      <c r="U42"/>
      <c r="V42"/>
      <c r="W42" s="104"/>
    </row>
    <row r="43" spans="5:23">
      <c r="E43" s="18"/>
      <c r="F43" s="18"/>
      <c r="G43" s="18"/>
      <c r="H43" s="18"/>
      <c r="I43" s="18"/>
      <c r="K43" s="18"/>
      <c r="L43" s="18"/>
      <c r="O43"/>
      <c r="P43"/>
      <c r="Q43"/>
      <c r="R43"/>
      <c r="S43"/>
      <c r="T43"/>
      <c r="U43"/>
      <c r="V43"/>
      <c r="W43" s="104"/>
    </row>
    <row r="44" spans="5:23">
      <c r="E44" s="18"/>
      <c r="F44" s="18"/>
      <c r="G44" s="18"/>
      <c r="H44" s="18"/>
      <c r="I44" s="18"/>
      <c r="K44" s="18"/>
      <c r="L44" s="18"/>
      <c r="O44"/>
      <c r="P44"/>
      <c r="Q44"/>
      <c r="R44"/>
      <c r="S44"/>
      <c r="T44"/>
      <c r="U44"/>
      <c r="V44"/>
      <c r="W44" s="104"/>
    </row>
    <row r="45" spans="5:23">
      <c r="M45" s="104"/>
      <c r="N45" s="413"/>
      <c r="O45"/>
      <c r="P45"/>
      <c r="Q45"/>
      <c r="R45"/>
      <c r="S45"/>
      <c r="T45"/>
      <c r="U45"/>
      <c r="V45"/>
      <c r="W45" s="104"/>
    </row>
    <row r="46" spans="5:23">
      <c r="M46" s="18"/>
      <c r="N46" s="18"/>
      <c r="O46"/>
      <c r="P46"/>
      <c r="Q46"/>
      <c r="R46"/>
      <c r="S46"/>
      <c r="T46"/>
      <c r="U46"/>
      <c r="V46"/>
      <c r="W46" s="18"/>
    </row>
    <row r="47" spans="5:23"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103"/>
      <c r="P47" s="107"/>
      <c r="Q47" s="107"/>
      <c r="R47" s="103"/>
      <c r="S47" s="397"/>
      <c r="T47" s="397"/>
      <c r="U47" s="397"/>
      <c r="V47" s="397"/>
      <c r="W47" s="47"/>
    </row>
  </sheetData>
  <mergeCells count="32">
    <mergeCell ref="A17:A28"/>
    <mergeCell ref="B11:B28"/>
    <mergeCell ref="C3:C28"/>
    <mergeCell ref="D7:D28"/>
    <mergeCell ref="AB13:AB22"/>
    <mergeCell ref="AA20:AA25"/>
    <mergeCell ref="AA7:AA16"/>
    <mergeCell ref="E7:E8"/>
    <mergeCell ref="H7:J7"/>
    <mergeCell ref="H8:I8"/>
    <mergeCell ref="E4:L4"/>
    <mergeCell ref="E5:L5"/>
    <mergeCell ref="F7:G8"/>
    <mergeCell ref="Y7:Y8"/>
    <mergeCell ref="Z7:Z8"/>
    <mergeCell ref="W7:W8"/>
    <mergeCell ref="AA5:AA6"/>
    <mergeCell ref="AC13:AC26"/>
    <mergeCell ref="AB7:AB10"/>
    <mergeCell ref="AC7:AC10"/>
    <mergeCell ref="J41:M41"/>
    <mergeCell ref="E6:J6"/>
    <mergeCell ref="G30:J30"/>
    <mergeCell ref="G31:J31"/>
    <mergeCell ref="X7:X8"/>
    <mergeCell ref="M7:M8"/>
    <mergeCell ref="O7:R7"/>
    <mergeCell ref="S7:T7"/>
    <mergeCell ref="V7:V8"/>
    <mergeCell ref="U7:U8"/>
    <mergeCell ref="N7:N8"/>
    <mergeCell ref="G32:J32"/>
  </mergeCells>
  <pageMargins left="0.19685039370078741" right="0.19685039370078741" top="0.19685039370078741" bottom="0.19685039370078741" header="0.31496062992125984" footer="0.31496062992125984"/>
  <pageSetup paperSize="9" scale="67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6"/>
  <sheetViews>
    <sheetView topLeftCell="L3" workbookViewId="0">
      <selection activeCell="S9" sqref="S9"/>
    </sheetView>
  </sheetViews>
  <sheetFormatPr defaultRowHeight="15"/>
  <cols>
    <col min="1" max="1" width="10.28515625" customWidth="1"/>
    <col min="2" max="2" width="8.7109375" customWidth="1"/>
    <col min="3" max="3" width="3.7109375" customWidth="1"/>
    <col min="4" max="4" width="5.85546875" customWidth="1"/>
    <col min="5" max="5" width="5.7109375" customWidth="1"/>
    <col min="6" max="6" width="10" customWidth="1"/>
    <col min="7" max="7" width="8.85546875" customWidth="1"/>
    <col min="8" max="8" width="7" customWidth="1"/>
    <col min="9" max="9" width="6.28515625" customWidth="1"/>
    <col min="10" max="10" width="6.7109375" customWidth="1"/>
    <col min="12" max="12" width="15.42578125" customWidth="1"/>
    <col min="13" max="13" width="12.42578125" customWidth="1"/>
    <col min="19" max="19" width="15.85546875" customWidth="1"/>
    <col min="20" max="20" width="13.140625" customWidth="1"/>
    <col min="22" max="22" width="12.5703125" customWidth="1"/>
    <col min="23" max="23" width="12.7109375" customWidth="1"/>
  </cols>
  <sheetData>
    <row r="1" spans="1:23">
      <c r="J1" t="s">
        <v>221</v>
      </c>
    </row>
    <row r="2" spans="1:23" ht="18.75">
      <c r="A2" s="434" t="s">
        <v>36</v>
      </c>
      <c r="B2" s="434"/>
      <c r="C2" s="434"/>
      <c r="D2" s="434"/>
      <c r="E2" s="434"/>
      <c r="F2" s="434"/>
      <c r="G2" s="434"/>
      <c r="H2" s="434"/>
      <c r="I2" s="434"/>
      <c r="J2" s="434"/>
    </row>
    <row r="3" spans="1:23" ht="18.75">
      <c r="A3" s="497" t="s">
        <v>215</v>
      </c>
      <c r="B3" s="497"/>
      <c r="C3" s="497"/>
      <c r="D3" s="497"/>
      <c r="E3" s="497"/>
      <c r="F3" s="497"/>
      <c r="G3" s="497"/>
      <c r="H3" s="497"/>
      <c r="I3" s="497"/>
    </row>
    <row r="4" spans="1:23" ht="21.75" thickBot="1">
      <c r="A4" s="454" t="str">
        <f>'Ножницы стенка'!A4:B4</f>
        <v xml:space="preserve">Накладная№ 
</v>
      </c>
      <c r="B4" s="455"/>
      <c r="D4" s="454">
        <f>'Ножницы стенка'!D4</f>
        <v>0</v>
      </c>
      <c r="E4" s="455"/>
    </row>
    <row r="5" spans="1:23" ht="53.25" customHeight="1">
      <c r="A5" s="435" t="s">
        <v>10</v>
      </c>
      <c r="B5" s="450" t="s">
        <v>0</v>
      </c>
      <c r="C5" s="450"/>
      <c r="D5" s="461" t="s">
        <v>33</v>
      </c>
      <c r="E5" s="462"/>
      <c r="F5" s="498" t="s">
        <v>334</v>
      </c>
      <c r="G5" s="453"/>
      <c r="H5" s="453"/>
      <c r="I5" s="63" t="s">
        <v>38</v>
      </c>
      <c r="J5" s="456" t="s">
        <v>209</v>
      </c>
      <c r="K5" s="456"/>
      <c r="L5" s="500" t="s">
        <v>206</v>
      </c>
      <c r="M5" s="435" t="s">
        <v>218</v>
      </c>
      <c r="N5" s="446" t="s">
        <v>217</v>
      </c>
      <c r="O5" s="435" t="s">
        <v>219</v>
      </c>
      <c r="P5" s="446" t="s">
        <v>217</v>
      </c>
      <c r="S5" s="502" t="s">
        <v>378</v>
      </c>
      <c r="T5" s="502" t="s">
        <v>379</v>
      </c>
      <c r="U5" s="504"/>
      <c r="V5" s="502" t="s">
        <v>381</v>
      </c>
      <c r="W5" s="502" t="s">
        <v>380</v>
      </c>
    </row>
    <row r="6" spans="1:23" ht="30" customHeight="1">
      <c r="A6" s="436"/>
      <c r="B6" s="450"/>
      <c r="C6" s="450"/>
      <c r="D6" s="13" t="s">
        <v>31</v>
      </c>
      <c r="E6" s="13" t="s">
        <v>32</v>
      </c>
      <c r="F6" s="17" t="s">
        <v>12</v>
      </c>
      <c r="G6" s="9" t="s">
        <v>11</v>
      </c>
      <c r="H6" s="26" t="s">
        <v>6</v>
      </c>
      <c r="I6" s="25"/>
      <c r="J6" s="62" t="s">
        <v>210</v>
      </c>
      <c r="K6" s="62" t="s">
        <v>211</v>
      </c>
      <c r="L6" s="501"/>
      <c r="M6" s="436"/>
      <c r="N6" s="447"/>
      <c r="O6" s="436"/>
      <c r="P6" s="447"/>
      <c r="S6" s="503"/>
      <c r="T6" s="503"/>
      <c r="U6" s="505"/>
      <c r="V6" s="503"/>
      <c r="W6" s="503"/>
    </row>
    <row r="7" spans="1:23" ht="21.75" customHeight="1">
      <c r="A7" s="2">
        <f>'Исходные данные'!B6</f>
        <v>0</v>
      </c>
      <c r="B7" s="2">
        <f>'Исходные данные'!C6</f>
        <v>0</v>
      </c>
      <c r="C7" s="2">
        <f>'Исходные данные'!D6</f>
        <v>0</v>
      </c>
      <c r="D7" s="2">
        <f>'Исходные данные'!F6</f>
        <v>0</v>
      </c>
      <c r="E7" s="2">
        <f>'Исходные данные'!G6</f>
        <v>0</v>
      </c>
      <c r="F7" s="7" t="str">
        <f>IF('Исходные данные'!M6=1,T7,IF('Исходные данные'!M6=2,W7,IF('Исходные данные'!M6=3,T7,IF('Исходные данные'!M6=4,W7,"---"))))</f>
        <v>---</v>
      </c>
      <c r="G7" s="7" t="str">
        <f>IF(E7&gt;0,E7-5.5,"---")</f>
        <v>---</v>
      </c>
      <c r="H7" s="14">
        <f>'Исходные данные'!H6*2</f>
        <v>0</v>
      </c>
      <c r="I7" s="1" t="str">
        <f>IF('Исходные данные'!L6=1,"ОЦ",IF('Исходные данные'!L6=2,"нерж",IF('Исходные данные'!L6=3,"латунь",IF('Исходные данные'!L6=4,"краш","---"))))</f>
        <v>---</v>
      </c>
      <c r="J7" s="1">
        <v>0</v>
      </c>
      <c r="K7" s="1">
        <v>2.4E-2</v>
      </c>
      <c r="M7" s="70"/>
      <c r="N7" s="1"/>
      <c r="O7" s="1"/>
      <c r="P7" s="1"/>
      <c r="S7" s="224">
        <f>'Труматик гермики'!P7</f>
        <v>0</v>
      </c>
      <c r="T7" s="224">
        <f>IF(S7&gt;0,((D7-(S7-1)*150)/2)-41,0)</f>
        <v>0</v>
      </c>
      <c r="U7" s="224"/>
      <c r="V7" s="224">
        <f>'Труматик гермики'!Q7</f>
        <v>0</v>
      </c>
      <c r="W7" s="224">
        <f>IF(V7&gt;0,((D7-(V7-1)*150)/2)-46,0)</f>
        <v>0</v>
      </c>
    </row>
    <row r="8" spans="1:23">
      <c r="A8" s="41">
        <f>'Исходные данные'!B7</f>
        <v>0</v>
      </c>
      <c r="B8" s="41">
        <f>'Исходные данные'!C7</f>
        <v>0</v>
      </c>
      <c r="C8" s="41">
        <f>'Исходные данные'!D7</f>
        <v>0</v>
      </c>
      <c r="D8" s="41">
        <f>'Исходные данные'!F7</f>
        <v>0</v>
      </c>
      <c r="E8" s="41">
        <f>'Исходные данные'!G7</f>
        <v>0</v>
      </c>
      <c r="F8" s="7" t="str">
        <f>IF('Исходные данные'!M7=1,T8,IF('Исходные данные'!M7=2,W8,IF('Исходные данные'!M7=3,T8,IF('Исходные данные'!M7=4,W8,"---"))))</f>
        <v>---</v>
      </c>
      <c r="G8" s="7" t="str">
        <f t="shared" ref="G8:G27" si="0">IF(E8&gt;0,E8-5.5,"---")</f>
        <v>---</v>
      </c>
      <c r="H8" s="149">
        <f>'Исходные данные'!H7*2</f>
        <v>0</v>
      </c>
      <c r="I8" s="1" t="str">
        <f>IF('Исходные данные'!L7=1,"ОЦ",IF('Исходные данные'!L7=2,"нерж",IF('Исходные данные'!L7=3,"латунь",IF('Исходные данные'!L7=4,"краш","---"))))</f>
        <v>---</v>
      </c>
      <c r="J8" s="1"/>
      <c r="K8" s="1">
        <v>4.8000000000000001E-2</v>
      </c>
      <c r="L8" s="1"/>
      <c r="M8" s="70"/>
      <c r="N8" s="1"/>
      <c r="O8" s="1"/>
      <c r="P8" s="1"/>
      <c r="S8" s="224">
        <f>'Труматик гермики'!P8</f>
        <v>0</v>
      </c>
      <c r="T8" s="224">
        <f t="shared" ref="T8:T27" si="1">IF(S8&gt;0,((D8-(S8-1)*150)/2)-41,0)</f>
        <v>0</v>
      </c>
      <c r="U8" s="224"/>
      <c r="V8" s="224">
        <f>'Труматик гермики'!Q8</f>
        <v>0</v>
      </c>
      <c r="W8" s="224">
        <f t="shared" ref="W8:W27" si="2">IF(V8&gt;0,((D8-(V8-1)*150)/2)-46,0)</f>
        <v>0</v>
      </c>
    </row>
    <row r="9" spans="1:23">
      <c r="A9" s="41">
        <f>'Исходные данные'!B8</f>
        <v>0</v>
      </c>
      <c r="B9" s="41">
        <f>'Исходные данные'!C8</f>
        <v>0</v>
      </c>
      <c r="C9" s="41">
        <f>'Исходные данные'!D8</f>
        <v>0</v>
      </c>
      <c r="D9" s="41">
        <f>'Исходные данные'!F8</f>
        <v>0</v>
      </c>
      <c r="E9" s="41">
        <f>'Исходные данные'!G8</f>
        <v>0</v>
      </c>
      <c r="F9" s="7" t="str">
        <f>IF('Исходные данные'!M8=1,T9,IF('Исходные данные'!M8=2,W9,IF('Исходные данные'!M8=3,T9,IF('Исходные данные'!M8=4,W9,"---"))))</f>
        <v>---</v>
      </c>
      <c r="G9" s="7" t="str">
        <f t="shared" si="0"/>
        <v>---</v>
      </c>
      <c r="H9" s="149">
        <f>'Исходные данные'!H8*2</f>
        <v>0</v>
      </c>
      <c r="I9" s="1" t="str">
        <f>IF('Исходные данные'!L8=1,"ОЦ",IF('Исходные данные'!L8=2,"нерж",IF('Исходные данные'!L8=3,"латунь",IF('Исходные данные'!L8=4,"краш","---"))))</f>
        <v>---</v>
      </c>
      <c r="J9" s="1">
        <v>0</v>
      </c>
      <c r="K9" s="1">
        <v>4.8000000000000001E-2</v>
      </c>
      <c r="L9" s="1"/>
      <c r="M9" s="70"/>
      <c r="N9" s="1"/>
      <c r="O9" s="1"/>
      <c r="P9" s="1"/>
      <c r="S9" s="224">
        <f>'Труматик гермики'!P9</f>
        <v>0</v>
      </c>
      <c r="T9" s="224">
        <f t="shared" si="1"/>
        <v>0</v>
      </c>
      <c r="U9" s="224"/>
      <c r="V9" s="224">
        <f>'Труматик гермики'!Q9</f>
        <v>0</v>
      </c>
      <c r="W9" s="224">
        <f t="shared" si="2"/>
        <v>0</v>
      </c>
    </row>
    <row r="10" spans="1:23" ht="29.25" customHeight="1">
      <c r="A10" s="41">
        <f>'Исходные данные'!B9</f>
        <v>0</v>
      </c>
      <c r="B10" s="41">
        <f>'Исходные данные'!C9</f>
        <v>0</v>
      </c>
      <c r="C10" s="41">
        <f>'Исходные данные'!D9</f>
        <v>0</v>
      </c>
      <c r="D10" s="41">
        <f>'Исходные данные'!F9</f>
        <v>0</v>
      </c>
      <c r="E10" s="41">
        <f>'Исходные данные'!G9</f>
        <v>0</v>
      </c>
      <c r="F10" s="7" t="str">
        <f>IF('Исходные данные'!M9=1,T10,IF('Исходные данные'!M9=2,W10,IF('Исходные данные'!M9=3,T10,IF('Исходные данные'!M9=4,W10,"---"))))</f>
        <v>---</v>
      </c>
      <c r="G10" s="7" t="str">
        <f t="shared" si="0"/>
        <v>---</v>
      </c>
      <c r="H10" s="149">
        <f>'Исходные данные'!H9*2</f>
        <v>0</v>
      </c>
      <c r="I10" s="1" t="str">
        <f>IF('Исходные данные'!L9=1,"ОЦ",IF('Исходные данные'!L9=2,"нерж",IF('Исходные данные'!L9=3,"латунь",IF('Исходные данные'!L9=4,"краш","---"))))</f>
        <v>---</v>
      </c>
      <c r="J10" s="1">
        <v>0</v>
      </c>
      <c r="K10" s="1">
        <v>2.4E-2</v>
      </c>
      <c r="L10" s="73"/>
      <c r="M10" s="70"/>
      <c r="N10" s="1"/>
      <c r="O10" s="1"/>
      <c r="P10" s="1"/>
      <c r="S10" s="224">
        <f>'Труматик гермики'!P10</f>
        <v>0</v>
      </c>
      <c r="T10" s="224">
        <f t="shared" si="1"/>
        <v>0</v>
      </c>
      <c r="U10" s="224"/>
      <c r="V10" s="224">
        <f>'Труматик гермики'!Q10</f>
        <v>0</v>
      </c>
      <c r="W10" s="224">
        <f t="shared" si="2"/>
        <v>0</v>
      </c>
    </row>
    <row r="11" spans="1:23">
      <c r="A11" s="41">
        <f>'Исходные данные'!B10</f>
        <v>0</v>
      </c>
      <c r="B11" s="41">
        <f>'Исходные данные'!C10</f>
        <v>0</v>
      </c>
      <c r="C11" s="41">
        <f>'Исходные данные'!D10</f>
        <v>0</v>
      </c>
      <c r="D11" s="41">
        <f>'Исходные данные'!F10</f>
        <v>0</v>
      </c>
      <c r="E11" s="41">
        <f>'Исходные данные'!G10</f>
        <v>0</v>
      </c>
      <c r="F11" s="7" t="str">
        <f>IF('Исходные данные'!M10=1,T11,IF('Исходные данные'!M10=2,W11,IF('Исходные данные'!M10=3,T11,IF('Исходные данные'!M10=4,W11,"---"))))</f>
        <v>---</v>
      </c>
      <c r="G11" s="7" t="str">
        <f t="shared" si="0"/>
        <v>---</v>
      </c>
      <c r="H11" s="149">
        <f>'Исходные данные'!H10*2</f>
        <v>0</v>
      </c>
      <c r="I11" s="1" t="str">
        <f>IF('Исходные данные'!L10=1,"ОЦ",IF('Исходные данные'!L10=2,"нерж",IF('Исходные данные'!L10=3,"латунь",IF('Исходные данные'!L10=4,"краш","---"))))</f>
        <v>---</v>
      </c>
      <c r="J11" s="1">
        <v>0</v>
      </c>
      <c r="K11" s="1">
        <v>0</v>
      </c>
      <c r="L11" s="1"/>
      <c r="M11" s="70"/>
      <c r="N11" s="1"/>
      <c r="O11" s="1"/>
      <c r="P11" s="1"/>
      <c r="S11" s="224">
        <f>'Труматик гермики'!P11</f>
        <v>0</v>
      </c>
      <c r="T11" s="224">
        <f t="shared" si="1"/>
        <v>0</v>
      </c>
      <c r="U11" s="224"/>
      <c r="V11" s="224">
        <f>'Труматик гермики'!Q11</f>
        <v>0</v>
      </c>
      <c r="W11" s="224">
        <f t="shared" si="2"/>
        <v>0</v>
      </c>
    </row>
    <row r="12" spans="1:23">
      <c r="A12" s="41">
        <f>'Исходные данные'!B11</f>
        <v>0</v>
      </c>
      <c r="B12" s="41">
        <f>'Исходные данные'!C11</f>
        <v>0</v>
      </c>
      <c r="C12" s="41">
        <f>'Исходные данные'!D11</f>
        <v>0</v>
      </c>
      <c r="D12" s="41">
        <f>'Исходные данные'!F11</f>
        <v>0</v>
      </c>
      <c r="E12" s="41">
        <f>'Исходные данные'!G11</f>
        <v>0</v>
      </c>
      <c r="F12" s="7" t="str">
        <f>IF('Исходные данные'!M11=1,T12,IF('Исходные данные'!M11=2,W12,IF('Исходные данные'!M11=3,T12,IF('Исходные данные'!M11=4,W12,"---"))))</f>
        <v>---</v>
      </c>
      <c r="G12" s="7" t="str">
        <f t="shared" si="0"/>
        <v>---</v>
      </c>
      <c r="H12" s="149">
        <f>'Исходные данные'!H11*2</f>
        <v>0</v>
      </c>
      <c r="I12" s="1" t="str">
        <f>IF('Исходные данные'!L11=1,"ОЦ",IF('Исходные данные'!L11=2,"нерж",IF('Исходные данные'!L11=3,"латунь",IF('Исходные данные'!L11=4,"краш","---"))))</f>
        <v>---</v>
      </c>
      <c r="J12" s="1">
        <v>0</v>
      </c>
      <c r="K12" s="1">
        <v>0</v>
      </c>
      <c r="L12" s="1"/>
      <c r="M12" s="70"/>
      <c r="N12" s="1"/>
      <c r="O12" s="1"/>
      <c r="P12" s="1"/>
      <c r="S12" s="224">
        <f>'Труматик гермики'!P12</f>
        <v>0</v>
      </c>
      <c r="T12" s="224">
        <f t="shared" si="1"/>
        <v>0</v>
      </c>
      <c r="U12" s="224"/>
      <c r="V12" s="224">
        <f>'Труматик гермики'!Q12</f>
        <v>0</v>
      </c>
      <c r="W12" s="224">
        <f t="shared" si="2"/>
        <v>0</v>
      </c>
    </row>
    <row r="13" spans="1:23">
      <c r="A13" s="41">
        <f>'Исходные данные'!B12</f>
        <v>0</v>
      </c>
      <c r="B13" s="41">
        <f>'Исходные данные'!C12</f>
        <v>0</v>
      </c>
      <c r="C13" s="41">
        <f>'Исходные данные'!D12</f>
        <v>0</v>
      </c>
      <c r="D13" s="41">
        <f>'Исходные данные'!F12</f>
        <v>0</v>
      </c>
      <c r="E13" s="41">
        <f>'Исходные данные'!G12</f>
        <v>0</v>
      </c>
      <c r="F13" s="7" t="str">
        <f>IF('Исходные данные'!M12=1,T13,IF('Исходные данные'!M12=2,W13,IF('Исходные данные'!M12=3,T13,IF('Исходные данные'!M12=4,W13,"---"))))</f>
        <v>---</v>
      </c>
      <c r="G13" s="7" t="str">
        <f t="shared" si="0"/>
        <v>---</v>
      </c>
      <c r="H13" s="149">
        <f>'Исходные данные'!H12*2</f>
        <v>0</v>
      </c>
      <c r="I13" s="1" t="str">
        <f>IF('Исходные данные'!L12=1,"ОЦ",IF('Исходные данные'!L12=2,"нерж",IF('Исходные данные'!L12=3,"латунь",IF('Исходные данные'!L12=4,"краш","---"))))</f>
        <v>---</v>
      </c>
      <c r="J13" s="1">
        <v>0</v>
      </c>
      <c r="K13" s="1">
        <v>0</v>
      </c>
      <c r="L13" s="1"/>
      <c r="M13" s="70"/>
      <c r="N13" s="1"/>
      <c r="O13" s="1"/>
      <c r="P13" s="1"/>
      <c r="S13" s="224">
        <f>'Труматик гермики'!P13</f>
        <v>0</v>
      </c>
      <c r="T13" s="224">
        <f t="shared" si="1"/>
        <v>0</v>
      </c>
      <c r="U13" s="224"/>
      <c r="V13" s="224">
        <f>'Труматик гермики'!Q13</f>
        <v>0</v>
      </c>
      <c r="W13" s="224">
        <f t="shared" si="2"/>
        <v>0</v>
      </c>
    </row>
    <row r="14" spans="1:23">
      <c r="A14" s="41">
        <f>'Исходные данные'!B13</f>
        <v>0</v>
      </c>
      <c r="B14" s="41">
        <f>'Исходные данные'!C13</f>
        <v>0</v>
      </c>
      <c r="C14" s="41">
        <f>'Исходные данные'!D13</f>
        <v>0</v>
      </c>
      <c r="D14" s="41">
        <f>'Исходные данные'!F13</f>
        <v>0</v>
      </c>
      <c r="E14" s="41">
        <f>'Исходные данные'!G13</f>
        <v>0</v>
      </c>
      <c r="F14" s="7" t="str">
        <f>IF('Исходные данные'!M13=1,T14,IF('Исходные данные'!M13=2,W14,IF('Исходные данные'!M13=3,T14,IF('Исходные данные'!M13=4,W14,"---"))))</f>
        <v>---</v>
      </c>
      <c r="G14" s="7" t="str">
        <f t="shared" si="0"/>
        <v>---</v>
      </c>
      <c r="H14" s="149">
        <f>'Исходные данные'!H13*2</f>
        <v>0</v>
      </c>
      <c r="I14" s="1" t="str">
        <f>IF('Исходные данные'!L13=1,"ОЦ",IF('Исходные данные'!L13=2,"нерж",IF('Исходные данные'!L13=3,"латунь",IF('Исходные данные'!L13=4,"краш","---"))))</f>
        <v>---</v>
      </c>
      <c r="J14" s="1"/>
      <c r="K14" s="1"/>
      <c r="L14" s="1"/>
      <c r="M14" s="70"/>
      <c r="N14" s="1"/>
      <c r="O14" s="1"/>
      <c r="P14" s="1"/>
      <c r="S14" s="224">
        <f>'Труматик гермики'!P14</f>
        <v>0</v>
      </c>
      <c r="T14" s="224">
        <f t="shared" si="1"/>
        <v>0</v>
      </c>
      <c r="U14" s="224"/>
      <c r="V14" s="224">
        <f>'Труматик гермики'!Q14</f>
        <v>0</v>
      </c>
      <c r="W14" s="224">
        <f t="shared" si="2"/>
        <v>0</v>
      </c>
    </row>
    <row r="15" spans="1:23">
      <c r="A15" s="41">
        <f>'Исходные данные'!B14</f>
        <v>0</v>
      </c>
      <c r="B15" s="41">
        <f>'Исходные данные'!C14</f>
        <v>0</v>
      </c>
      <c r="C15" s="41">
        <f>'Исходные данные'!D14</f>
        <v>0</v>
      </c>
      <c r="D15" s="41">
        <f>'Исходные данные'!F14</f>
        <v>0</v>
      </c>
      <c r="E15" s="41">
        <f>'Исходные данные'!G14</f>
        <v>0</v>
      </c>
      <c r="F15" s="7" t="str">
        <f>IF('Исходные данные'!M14=1,T15,IF('Исходные данные'!M14=2,W15,IF('Исходные данные'!M14=3,T15,IF('Исходные данные'!M14=4,W15,"---"))))</f>
        <v>---</v>
      </c>
      <c r="G15" s="7" t="str">
        <f t="shared" si="0"/>
        <v>---</v>
      </c>
      <c r="H15" s="149">
        <f>'Исходные данные'!H14*2</f>
        <v>0</v>
      </c>
      <c r="I15" s="1" t="str">
        <f>IF('Исходные данные'!L14=1,"ОЦ",IF('Исходные данные'!L14=2,"нерж",IF('Исходные данные'!L14=3,"латунь",IF('Исходные данные'!L14=4,"краш","---"))))</f>
        <v>---</v>
      </c>
      <c r="J15" s="1"/>
      <c r="K15" s="1"/>
      <c r="L15" s="1"/>
      <c r="M15" s="70"/>
      <c r="N15" s="1"/>
      <c r="O15" s="1"/>
      <c r="P15" s="1"/>
      <c r="S15" s="224">
        <f>'Труматик гермики'!P15</f>
        <v>0</v>
      </c>
      <c r="T15" s="224">
        <f t="shared" si="1"/>
        <v>0</v>
      </c>
      <c r="U15" s="224"/>
      <c r="V15" s="224">
        <f>'Труматик гермики'!Q15</f>
        <v>0</v>
      </c>
      <c r="W15" s="224">
        <f t="shared" si="2"/>
        <v>0</v>
      </c>
    </row>
    <row r="16" spans="1:23">
      <c r="A16" s="41">
        <f>'Исходные данные'!B15</f>
        <v>0</v>
      </c>
      <c r="B16" s="41">
        <f>'Исходные данные'!C15</f>
        <v>0</v>
      </c>
      <c r="C16" s="41">
        <f>'Исходные данные'!D15</f>
        <v>0</v>
      </c>
      <c r="D16" s="41">
        <f>'Исходные данные'!F15</f>
        <v>0</v>
      </c>
      <c r="E16" s="41">
        <f>'Исходные данные'!G15</f>
        <v>0</v>
      </c>
      <c r="F16" s="7" t="str">
        <f>IF('Исходные данные'!M15=1,T16,IF('Исходные данные'!M15=2,W16,IF('Исходные данные'!M15=3,T16,IF('Исходные данные'!M15=4,W16,"---"))))</f>
        <v>---</v>
      </c>
      <c r="G16" s="7" t="str">
        <f t="shared" si="0"/>
        <v>---</v>
      </c>
      <c r="H16" s="149">
        <f>'Исходные данные'!H15*2</f>
        <v>0</v>
      </c>
      <c r="I16" s="1" t="str">
        <f>IF('Исходные данные'!L15=1,"ОЦ",IF('Исходные данные'!L15=2,"нерж",IF('Исходные данные'!L15=3,"латунь",IF('Исходные данные'!L15=4,"краш","---"))))</f>
        <v>---</v>
      </c>
      <c r="J16" s="1"/>
      <c r="K16" s="1"/>
      <c r="L16" s="1"/>
      <c r="M16" s="70"/>
      <c r="N16" s="1"/>
      <c r="O16" s="1"/>
      <c r="P16" s="1"/>
      <c r="S16" s="224">
        <f>'Труматик гермики'!P16</f>
        <v>0</v>
      </c>
      <c r="T16" s="224">
        <f t="shared" si="1"/>
        <v>0</v>
      </c>
      <c r="U16" s="224"/>
      <c r="V16" s="224">
        <f>'Труматик гермики'!Q16</f>
        <v>0</v>
      </c>
      <c r="W16" s="224">
        <f t="shared" si="2"/>
        <v>0</v>
      </c>
    </row>
    <row r="17" spans="1:23">
      <c r="A17" s="41">
        <f>'Исходные данные'!B16</f>
        <v>0</v>
      </c>
      <c r="B17" s="41">
        <f>'Исходные данные'!C16</f>
        <v>0</v>
      </c>
      <c r="C17" s="41">
        <f>'Исходные данные'!D16</f>
        <v>0</v>
      </c>
      <c r="D17" s="41">
        <f>'Исходные данные'!F16</f>
        <v>0</v>
      </c>
      <c r="E17" s="41">
        <f>'Исходные данные'!G16</f>
        <v>0</v>
      </c>
      <c r="F17" s="7" t="str">
        <f>IF('Исходные данные'!M16=1,T17,IF('Исходные данные'!M16=2,W17,IF('Исходные данные'!M16=3,T17,IF('Исходные данные'!M16=4,W17,"---"))))</f>
        <v>---</v>
      </c>
      <c r="G17" s="7" t="str">
        <f t="shared" si="0"/>
        <v>---</v>
      </c>
      <c r="H17" s="149">
        <f>'Исходные данные'!H16*2</f>
        <v>0</v>
      </c>
      <c r="I17" s="1" t="str">
        <f>IF('Исходные данные'!L16=1,"ОЦ",IF('Исходные данные'!L16=2,"нерж",IF('Исходные данные'!L16=3,"латунь",IF('Исходные данные'!L16=4,"краш","---"))))</f>
        <v>---</v>
      </c>
      <c r="J17" s="1"/>
      <c r="K17" s="1"/>
      <c r="L17" s="1"/>
      <c r="M17" s="70"/>
      <c r="N17" s="1"/>
      <c r="O17" s="1"/>
      <c r="P17" s="1"/>
      <c r="S17" s="224">
        <f>'Труматик гермики'!P17</f>
        <v>0</v>
      </c>
      <c r="T17" s="224">
        <f t="shared" si="1"/>
        <v>0</v>
      </c>
      <c r="U17" s="224"/>
      <c r="V17" s="224">
        <f>'Труматик гермики'!Q17</f>
        <v>0</v>
      </c>
      <c r="W17" s="224">
        <f t="shared" si="2"/>
        <v>0</v>
      </c>
    </row>
    <row r="18" spans="1:23">
      <c r="A18" s="41">
        <f>'Исходные данные'!B17</f>
        <v>0</v>
      </c>
      <c r="B18" s="41">
        <f>'Исходные данные'!C17</f>
        <v>0</v>
      </c>
      <c r="C18" s="41">
        <f>'Исходные данные'!D17</f>
        <v>0</v>
      </c>
      <c r="D18" s="41">
        <f>'Исходные данные'!F17</f>
        <v>0</v>
      </c>
      <c r="E18" s="41">
        <f>'Исходные данные'!G17</f>
        <v>0</v>
      </c>
      <c r="F18" s="7" t="str">
        <f>IF('Исходные данные'!M17=1,T18,IF('Исходные данные'!M17=2,W18,IF('Исходные данные'!M17=3,T18,IF('Исходные данные'!M17=4,W18,"---"))))</f>
        <v>---</v>
      </c>
      <c r="G18" s="7" t="str">
        <f t="shared" si="0"/>
        <v>---</v>
      </c>
      <c r="H18" s="149">
        <f>'Исходные данные'!H17*2</f>
        <v>0</v>
      </c>
      <c r="I18" s="1" t="str">
        <f>IF('Исходные данные'!L17=1,"ОЦ",IF('Исходные данные'!L17=2,"нерж",IF('Исходные данные'!L17=3,"латунь",IF('Исходные данные'!L17=4,"краш","---"))))</f>
        <v>---</v>
      </c>
      <c r="J18" s="1"/>
      <c r="K18" s="1"/>
      <c r="L18" s="1"/>
      <c r="M18" s="70"/>
      <c r="N18" s="1"/>
      <c r="O18" s="1"/>
      <c r="P18" s="1"/>
      <c r="S18" s="224">
        <f>'Труматик гермики'!P18</f>
        <v>0</v>
      </c>
      <c r="T18" s="224">
        <f t="shared" si="1"/>
        <v>0</v>
      </c>
      <c r="U18" s="224"/>
      <c r="V18" s="224">
        <f>'Труматик гермики'!Q18</f>
        <v>0</v>
      </c>
      <c r="W18" s="224">
        <f t="shared" si="2"/>
        <v>0</v>
      </c>
    </row>
    <row r="19" spans="1:23">
      <c r="A19" s="41">
        <f>'Исходные данные'!B18</f>
        <v>0</v>
      </c>
      <c r="B19" s="41">
        <f>'Исходные данные'!C18</f>
        <v>0</v>
      </c>
      <c r="C19" s="41">
        <f>'Исходные данные'!D18</f>
        <v>0</v>
      </c>
      <c r="D19" s="41">
        <f>'Исходные данные'!F18</f>
        <v>0</v>
      </c>
      <c r="E19" s="41">
        <f>'Исходные данные'!G18</f>
        <v>0</v>
      </c>
      <c r="F19" s="7" t="str">
        <f>IF('Исходные данные'!M18=1,T19,IF('Исходные данные'!M18=2,W19,IF('Исходные данные'!M18=3,T19,IF('Исходные данные'!M18=4,W19,"---"))))</f>
        <v>---</v>
      </c>
      <c r="G19" s="7" t="str">
        <f t="shared" si="0"/>
        <v>---</v>
      </c>
      <c r="H19" s="149">
        <f>'Исходные данные'!H18*2</f>
        <v>0</v>
      </c>
      <c r="I19" s="1" t="str">
        <f>IF('Исходные данные'!L18=1,"ОЦ",IF('Исходные данные'!L18=2,"нерж",IF('Исходные данные'!L18=3,"латунь",IF('Исходные данные'!L18=4,"краш","---"))))</f>
        <v>---</v>
      </c>
      <c r="J19" s="1"/>
      <c r="K19" s="1">
        <v>0</v>
      </c>
      <c r="L19" s="1"/>
      <c r="M19" s="70"/>
      <c r="N19" s="1"/>
      <c r="O19" s="1"/>
      <c r="P19" s="1"/>
      <c r="S19" s="224">
        <f>'Труматик гермики'!P19</f>
        <v>0</v>
      </c>
      <c r="T19" s="224">
        <f t="shared" si="1"/>
        <v>0</v>
      </c>
      <c r="U19" s="224"/>
      <c r="V19" s="224">
        <f>'Труматик гермики'!Q19</f>
        <v>0</v>
      </c>
      <c r="W19" s="224">
        <f t="shared" si="2"/>
        <v>0</v>
      </c>
    </row>
    <row r="20" spans="1:23">
      <c r="A20" s="41">
        <f>'Исходные данные'!B19</f>
        <v>0</v>
      </c>
      <c r="B20" s="41">
        <f>'Исходные данные'!C19</f>
        <v>0</v>
      </c>
      <c r="C20" s="41">
        <f>'Исходные данные'!D19</f>
        <v>0</v>
      </c>
      <c r="D20" s="41">
        <f>'Исходные данные'!F19</f>
        <v>0</v>
      </c>
      <c r="E20" s="41">
        <f>'Исходные данные'!G19</f>
        <v>0</v>
      </c>
      <c r="F20" s="7" t="str">
        <f>IF('Исходные данные'!M19=1,T20,IF('Исходные данные'!M19=2,W20,IF('Исходные данные'!M19=3,T20,IF('Исходные данные'!M19=4,W20,"---"))))</f>
        <v>---</v>
      </c>
      <c r="G20" s="7" t="str">
        <f t="shared" si="0"/>
        <v>---</v>
      </c>
      <c r="H20" s="149">
        <f>'Исходные данные'!H19*2</f>
        <v>0</v>
      </c>
      <c r="I20" s="1" t="str">
        <f>IF('Исходные данные'!L19=1,"ОЦ",IF('Исходные данные'!L19=2,"нерж",IF('Исходные данные'!L19=3,"латунь",IF('Исходные данные'!L19=4,"краш","---"))))</f>
        <v>---</v>
      </c>
      <c r="J20" s="1"/>
      <c r="K20" s="1"/>
      <c r="L20" s="1"/>
      <c r="M20" s="70"/>
      <c r="N20" s="1"/>
      <c r="O20" s="1"/>
      <c r="P20" s="1"/>
      <c r="S20" s="224">
        <f>'Труматик гермики'!P20</f>
        <v>0</v>
      </c>
      <c r="T20" s="224">
        <f t="shared" si="1"/>
        <v>0</v>
      </c>
      <c r="U20" s="224"/>
      <c r="V20" s="224">
        <f>'Труматик гермики'!Q20</f>
        <v>0</v>
      </c>
      <c r="W20" s="224">
        <f t="shared" si="2"/>
        <v>0</v>
      </c>
    </row>
    <row r="21" spans="1:23">
      <c r="A21" s="41">
        <f>'Исходные данные'!B20</f>
        <v>0</v>
      </c>
      <c r="B21" s="41">
        <f>'Исходные данные'!C20</f>
        <v>0</v>
      </c>
      <c r="C21" s="41">
        <f>'Исходные данные'!D20</f>
        <v>0</v>
      </c>
      <c r="D21" s="41">
        <f>'Исходные данные'!F20</f>
        <v>0</v>
      </c>
      <c r="E21" s="41">
        <f>'Исходные данные'!G20</f>
        <v>0</v>
      </c>
      <c r="F21" s="7" t="str">
        <f>IF('Исходные данные'!M20=1,T21,IF('Исходные данные'!M20=2,W21,IF('Исходные данные'!M20=3,T21,IF('Исходные данные'!M20=4,W21,"---"))))</f>
        <v>---</v>
      </c>
      <c r="G21" s="7" t="str">
        <f t="shared" si="0"/>
        <v>---</v>
      </c>
      <c r="H21" s="149">
        <f>'Исходные данные'!H20*2</f>
        <v>0</v>
      </c>
      <c r="I21" s="1" t="str">
        <f>IF('Исходные данные'!L20=1,"ОЦ",IF('Исходные данные'!L20=2,"нерж",IF('Исходные данные'!L20=3,"латунь",IF('Исходные данные'!L20=4,"краш","---"))))</f>
        <v>---</v>
      </c>
      <c r="J21" s="1"/>
      <c r="K21" s="1"/>
      <c r="L21" s="1"/>
      <c r="M21" s="70"/>
      <c r="N21" s="1"/>
      <c r="O21" s="1"/>
      <c r="P21" s="1"/>
      <c r="S21" s="224">
        <f>'Труматик гермики'!P21</f>
        <v>0</v>
      </c>
      <c r="T21" s="224">
        <f t="shared" si="1"/>
        <v>0</v>
      </c>
      <c r="U21" s="224"/>
      <c r="V21" s="224">
        <f>'Труматик гермики'!Q21</f>
        <v>0</v>
      </c>
      <c r="W21" s="224">
        <f t="shared" si="2"/>
        <v>0</v>
      </c>
    </row>
    <row r="22" spans="1:23">
      <c r="A22" s="41">
        <f>'Исходные данные'!B21</f>
        <v>0</v>
      </c>
      <c r="B22" s="41">
        <f>'Исходные данные'!C21</f>
        <v>0</v>
      </c>
      <c r="C22" s="41">
        <f>'Исходные данные'!D21</f>
        <v>0</v>
      </c>
      <c r="D22" s="41">
        <f>'Исходные данные'!F21</f>
        <v>0</v>
      </c>
      <c r="E22" s="41">
        <f>'Исходные данные'!G21</f>
        <v>0</v>
      </c>
      <c r="F22" s="7" t="str">
        <f>IF('Исходные данные'!M21=1,T22,IF('Исходные данные'!M21=2,W22,IF('Исходные данные'!M21=3,T22,IF('Исходные данные'!M21=4,W22,"---"))))</f>
        <v>---</v>
      </c>
      <c r="G22" s="7" t="str">
        <f t="shared" si="0"/>
        <v>---</v>
      </c>
      <c r="H22" s="149">
        <f>'Исходные данные'!H21*2</f>
        <v>0</v>
      </c>
      <c r="I22" s="1" t="str">
        <f>IF('Исходные данные'!L21=1,"ОЦ",IF('Исходные данные'!L21=2,"нерж",IF('Исходные данные'!L21=3,"латунь",IF('Исходные данные'!L21=4,"краш","---"))))</f>
        <v>---</v>
      </c>
      <c r="J22" s="1"/>
      <c r="K22" s="1"/>
      <c r="L22" s="1"/>
      <c r="M22" s="70"/>
      <c r="N22" s="1"/>
      <c r="O22" s="1"/>
      <c r="P22" s="1"/>
      <c r="S22" s="224">
        <f>'Труматик гермики'!P22</f>
        <v>0</v>
      </c>
      <c r="T22" s="224">
        <f t="shared" si="1"/>
        <v>0</v>
      </c>
      <c r="U22" s="224"/>
      <c r="V22" s="224">
        <f>'Труматик гермики'!Q22</f>
        <v>0</v>
      </c>
      <c r="W22" s="224">
        <f t="shared" si="2"/>
        <v>0</v>
      </c>
    </row>
    <row r="23" spans="1:23">
      <c r="A23" s="41">
        <f>'Исходные данные'!B22</f>
        <v>0</v>
      </c>
      <c r="B23" s="41">
        <f>'Исходные данные'!C22</f>
        <v>0</v>
      </c>
      <c r="C23" s="41">
        <f>'Исходные данные'!D22</f>
        <v>0</v>
      </c>
      <c r="D23" s="41">
        <f>'Исходные данные'!F22</f>
        <v>0</v>
      </c>
      <c r="E23" s="41">
        <f>'Исходные данные'!G22</f>
        <v>0</v>
      </c>
      <c r="F23" s="7" t="str">
        <f>IF('Исходные данные'!M22=1,T23,IF('Исходные данные'!M22=2,W23,IF('Исходные данные'!M22=3,T23,IF('Исходные данные'!M22=4,W23,"---"))))</f>
        <v>---</v>
      </c>
      <c r="G23" s="7" t="str">
        <f t="shared" si="0"/>
        <v>---</v>
      </c>
      <c r="H23" s="149">
        <f>'Исходные данные'!H22*2</f>
        <v>0</v>
      </c>
      <c r="I23" s="1" t="str">
        <f>IF('Исходные данные'!L22=1,"ОЦ",IF('Исходные данные'!L22=2,"нерж",IF('Исходные данные'!L22=3,"латунь",IF('Исходные данные'!L22=4,"краш","---"))))</f>
        <v>---</v>
      </c>
      <c r="J23" s="1"/>
      <c r="K23" s="1"/>
      <c r="L23" s="1"/>
      <c r="M23" s="70"/>
      <c r="N23" s="1"/>
      <c r="O23" s="1"/>
      <c r="P23" s="1"/>
      <c r="S23" s="224">
        <f>'Труматик гермики'!P23</f>
        <v>0</v>
      </c>
      <c r="T23" s="224">
        <f t="shared" si="1"/>
        <v>0</v>
      </c>
      <c r="U23" s="224"/>
      <c r="V23" s="224">
        <f>'Труматик гермики'!Q23</f>
        <v>0</v>
      </c>
      <c r="W23" s="224">
        <f t="shared" si="2"/>
        <v>0</v>
      </c>
    </row>
    <row r="24" spans="1:23">
      <c r="A24" s="41">
        <f>'Исходные данные'!B23</f>
        <v>0</v>
      </c>
      <c r="B24" s="41">
        <f>'Исходные данные'!C23</f>
        <v>0</v>
      </c>
      <c r="C24" s="41">
        <f>'Исходные данные'!D23</f>
        <v>0</v>
      </c>
      <c r="D24" s="41">
        <f>'Исходные данные'!F23</f>
        <v>0</v>
      </c>
      <c r="E24" s="41">
        <f>'Исходные данные'!G23</f>
        <v>0</v>
      </c>
      <c r="F24" s="7" t="str">
        <f>IF('Исходные данные'!M23=1,T24,IF('Исходные данные'!M23=2,W24,IF('Исходные данные'!M23=3,T24,IF('Исходные данные'!M23=4,W24,"---"))))</f>
        <v>---</v>
      </c>
      <c r="G24" s="7" t="str">
        <f t="shared" si="0"/>
        <v>---</v>
      </c>
      <c r="H24" s="149">
        <f>'Исходные данные'!H23*2</f>
        <v>0</v>
      </c>
      <c r="I24" s="1" t="str">
        <f>IF('Исходные данные'!L23=1,"ОЦ",IF('Исходные данные'!L23=2,"нерж",IF('Исходные данные'!L23=3,"латунь",IF('Исходные данные'!L23=4,"краш","---"))))</f>
        <v>---</v>
      </c>
      <c r="J24" s="1"/>
      <c r="K24" s="1"/>
      <c r="L24" s="1"/>
      <c r="M24" s="70"/>
      <c r="N24" s="1"/>
      <c r="O24" s="1"/>
      <c r="P24" s="1"/>
      <c r="S24" s="224">
        <f>'Труматик гермики'!P24</f>
        <v>0</v>
      </c>
      <c r="T24" s="224">
        <f t="shared" si="1"/>
        <v>0</v>
      </c>
      <c r="U24" s="224"/>
      <c r="V24" s="224">
        <f>'Труматик гермики'!Q24</f>
        <v>0</v>
      </c>
      <c r="W24" s="224">
        <f t="shared" si="2"/>
        <v>0</v>
      </c>
    </row>
    <row r="25" spans="1:23">
      <c r="A25" s="41">
        <f>'Исходные данные'!B24</f>
        <v>0</v>
      </c>
      <c r="B25" s="41">
        <f>'Исходные данные'!C24</f>
        <v>0</v>
      </c>
      <c r="C25" s="41">
        <f>'Исходные данные'!D24</f>
        <v>0</v>
      </c>
      <c r="D25" s="41">
        <f>'Исходные данные'!F24</f>
        <v>0</v>
      </c>
      <c r="E25" s="41">
        <f>'Исходные данные'!G24</f>
        <v>0</v>
      </c>
      <c r="F25" s="7" t="str">
        <f>IF('Исходные данные'!M24=1,T25,IF('Исходные данные'!M24=2,W25,IF('Исходные данные'!M24=3,T25,IF('Исходные данные'!M24=4,W25,"---"))))</f>
        <v>---</v>
      </c>
      <c r="G25" s="7" t="str">
        <f t="shared" si="0"/>
        <v>---</v>
      </c>
      <c r="H25" s="149">
        <f>'Исходные данные'!H24*2</f>
        <v>0</v>
      </c>
      <c r="I25" s="1" t="str">
        <f>IF('Исходные данные'!L24=1,"ОЦ",IF('Исходные данные'!L24=2,"нерж",IF('Исходные данные'!L24=3,"латунь",IF('Исходные данные'!L24=4,"краш","---"))))</f>
        <v>---</v>
      </c>
      <c r="J25" s="1"/>
      <c r="K25" s="1"/>
      <c r="L25" s="1"/>
      <c r="M25" s="70"/>
      <c r="N25" s="1"/>
      <c r="O25" s="1"/>
      <c r="P25" s="1"/>
      <c r="S25" s="224">
        <f>'Труматик гермики'!P25</f>
        <v>0</v>
      </c>
      <c r="T25" s="224">
        <f t="shared" si="1"/>
        <v>0</v>
      </c>
      <c r="U25" s="224"/>
      <c r="V25" s="224">
        <f>'Труматик гермики'!Q25</f>
        <v>0</v>
      </c>
      <c r="W25" s="224">
        <f t="shared" si="2"/>
        <v>0</v>
      </c>
    </row>
    <row r="26" spans="1:23">
      <c r="A26" s="41">
        <f>'Исходные данные'!B25</f>
        <v>0</v>
      </c>
      <c r="B26" s="41">
        <f>'Исходные данные'!C25</f>
        <v>0</v>
      </c>
      <c r="C26" s="41">
        <f>'Исходные данные'!D25</f>
        <v>0</v>
      </c>
      <c r="D26" s="41">
        <f>'Исходные данные'!F25</f>
        <v>0</v>
      </c>
      <c r="E26" s="41">
        <f>'Исходные данные'!G25</f>
        <v>0</v>
      </c>
      <c r="F26" s="7" t="str">
        <f>IF('Исходные данные'!M25=1,T26,IF('Исходные данные'!M25=2,W26,IF('Исходные данные'!M25=3,T26,IF('Исходные данные'!M25=4,W26,"---"))))</f>
        <v>---</v>
      </c>
      <c r="G26" s="7" t="str">
        <f t="shared" si="0"/>
        <v>---</v>
      </c>
      <c r="H26" s="149">
        <f>'Исходные данные'!H25*2</f>
        <v>0</v>
      </c>
      <c r="I26" s="1" t="str">
        <f>IF('Исходные данные'!L25=1,"ОЦ",IF('Исходные данные'!L25=2,"нерж",IF('Исходные данные'!L25=3,"латунь",IF('Исходные данные'!L25=4,"краш","---"))))</f>
        <v>---</v>
      </c>
      <c r="J26" s="1"/>
      <c r="K26" s="1"/>
      <c r="L26" s="1"/>
      <c r="M26" s="70"/>
      <c r="N26" s="1"/>
      <c r="O26" s="1"/>
      <c r="P26" s="1"/>
      <c r="S26" s="224">
        <f>'Труматик гермики'!P26</f>
        <v>0</v>
      </c>
      <c r="T26" s="224">
        <f t="shared" si="1"/>
        <v>0</v>
      </c>
      <c r="U26" s="224"/>
      <c r="V26" s="224">
        <f>'Труматик гермики'!Q26</f>
        <v>0</v>
      </c>
      <c r="W26" s="224">
        <f t="shared" si="2"/>
        <v>0</v>
      </c>
    </row>
    <row r="27" spans="1:23">
      <c r="A27" s="41">
        <f>'Исходные данные'!B26</f>
        <v>0</v>
      </c>
      <c r="B27" s="41">
        <f>'Исходные данные'!C26</f>
        <v>0</v>
      </c>
      <c r="C27" s="41">
        <f>'Исходные данные'!D26</f>
        <v>0</v>
      </c>
      <c r="D27" s="41">
        <f>'Исходные данные'!F26</f>
        <v>0</v>
      </c>
      <c r="E27" s="41">
        <f>'Исходные данные'!G26</f>
        <v>0</v>
      </c>
      <c r="F27" s="7" t="str">
        <f>IF('Исходные данные'!M26=1,T27,IF('Исходные данные'!M26=2,W27,IF('Исходные данные'!M26=3,T27,IF('Исходные данные'!M26=4,W27,"---"))))</f>
        <v>---</v>
      </c>
      <c r="G27" s="7" t="str">
        <f t="shared" si="0"/>
        <v>---</v>
      </c>
      <c r="H27" s="149">
        <f>'Исходные данные'!H26*2</f>
        <v>0</v>
      </c>
      <c r="I27" s="1" t="str">
        <f>IF('Исходные данные'!L26=1,"ОЦ",IF('Исходные данные'!L26=2,"нерж",IF('Исходные данные'!L26=3,"латунь",IF('Исходные данные'!L26=4,"краш","---"))))</f>
        <v>---</v>
      </c>
      <c r="J27" s="1"/>
      <c r="K27" s="1"/>
      <c r="L27" s="1"/>
      <c r="M27" s="70"/>
      <c r="N27" s="1"/>
      <c r="O27" s="1"/>
      <c r="P27" s="1"/>
      <c r="S27" s="224">
        <f>'Труматик гермики'!P27</f>
        <v>0</v>
      </c>
      <c r="T27" s="224">
        <f t="shared" si="1"/>
        <v>0</v>
      </c>
      <c r="U27" s="224"/>
      <c r="V27" s="224">
        <f>'Труматик гермики'!Q27</f>
        <v>0</v>
      </c>
      <c r="W27" s="224">
        <f t="shared" si="2"/>
        <v>0</v>
      </c>
    </row>
    <row r="28" spans="1:23">
      <c r="F28" s="58"/>
      <c r="G28" s="58"/>
    </row>
    <row r="29" spans="1:23">
      <c r="B29" t="s">
        <v>57</v>
      </c>
      <c r="C29" s="427" t="s">
        <v>42</v>
      </c>
      <c r="D29" s="427"/>
      <c r="E29" s="427"/>
      <c r="F29" s="427"/>
      <c r="G29" s="427"/>
      <c r="H29">
        <f>SUM(J7:J27)</f>
        <v>0</v>
      </c>
    </row>
    <row r="31" spans="1:23">
      <c r="B31" t="s">
        <v>59</v>
      </c>
      <c r="C31" s="50"/>
      <c r="D31" s="50"/>
      <c r="E31" s="50"/>
      <c r="F31" s="50"/>
      <c r="G31" s="50"/>
      <c r="H31">
        <f>SUM(K7:K27)</f>
        <v>0.14400000000000002</v>
      </c>
    </row>
    <row r="32" spans="1:23" ht="18.75">
      <c r="B32" s="21" t="str">
        <f>'Труматик гермики'!B33</f>
        <v>Срок</v>
      </c>
      <c r="C32" s="21"/>
      <c r="D32" s="22"/>
      <c r="E32" s="457">
        <f>'Исходные данные'!F29</f>
        <v>0</v>
      </c>
      <c r="F32" s="457"/>
    </row>
    <row r="35" spans="1:12">
      <c r="B35" t="str">
        <f>'Труматик гермики'!B35</f>
        <v>Мастер_______________________________</v>
      </c>
    </row>
    <row r="36" spans="1:12" ht="21">
      <c r="A36" s="47" t="s">
        <v>207</v>
      </c>
      <c r="B36" s="48"/>
      <c r="C36" s="48"/>
      <c r="D36" s="48"/>
      <c r="E36" s="48"/>
      <c r="F36" s="48"/>
      <c r="G36" s="48"/>
      <c r="J36" s="499" t="s">
        <v>36</v>
      </c>
      <c r="K36" s="499"/>
      <c r="L36" s="71"/>
    </row>
    <row r="37" spans="1:12" ht="18.75">
      <c r="A37" s="47"/>
      <c r="B37" s="49" t="s">
        <v>84</v>
      </c>
      <c r="C37" s="49"/>
      <c r="D37" s="49"/>
      <c r="E37" s="49"/>
      <c r="F37" s="49"/>
      <c r="G37" s="49">
        <f>'Исходные данные'!F4</f>
        <v>0</v>
      </c>
      <c r="H37" s="47"/>
      <c r="I37" s="47"/>
      <c r="J37" s="47"/>
      <c r="K37" t="s">
        <v>221</v>
      </c>
    </row>
    <row r="38" spans="1:12">
      <c r="A38" s="47"/>
      <c r="B38" s="47"/>
      <c r="C38" s="47"/>
      <c r="D38" s="47"/>
      <c r="E38" s="47"/>
      <c r="F38" s="47"/>
      <c r="G38" s="47"/>
      <c r="H38" s="47"/>
      <c r="I38" s="47"/>
      <c r="J38" s="47"/>
    </row>
    <row r="39" spans="1:12">
      <c r="A39" s="47"/>
      <c r="B39" s="47" t="s">
        <v>85</v>
      </c>
      <c r="C39" s="47"/>
      <c r="D39" s="47"/>
      <c r="E39" s="47"/>
      <c r="F39" s="47"/>
      <c r="G39" s="47"/>
      <c r="H39" s="47"/>
      <c r="I39" s="47"/>
      <c r="J39" s="47"/>
    </row>
    <row r="40" spans="1:12">
      <c r="A40" s="47"/>
      <c r="B40" s="47"/>
      <c r="C40" s="47"/>
      <c r="D40" s="47"/>
      <c r="E40" s="47"/>
      <c r="F40" s="47"/>
      <c r="G40" s="47"/>
      <c r="H40" s="47"/>
      <c r="I40" s="47"/>
      <c r="J40" s="47"/>
    </row>
    <row r="41" spans="1:12">
      <c r="A41" s="47"/>
      <c r="B41" s="47" t="s">
        <v>78</v>
      </c>
      <c r="C41" s="47" t="s">
        <v>86</v>
      </c>
      <c r="D41" s="47"/>
      <c r="E41" s="47"/>
      <c r="F41" s="47"/>
      <c r="G41" s="47" t="s">
        <v>213</v>
      </c>
      <c r="H41" s="47"/>
      <c r="I41" s="47"/>
      <c r="J41" s="47"/>
    </row>
    <row r="42" spans="1:12">
      <c r="A42" s="47"/>
      <c r="B42" s="47"/>
      <c r="C42" s="47"/>
      <c r="D42" s="47"/>
      <c r="E42" s="47"/>
      <c r="F42" s="47"/>
      <c r="G42" s="47"/>
      <c r="H42" s="47"/>
      <c r="I42" s="47"/>
      <c r="J42" s="47"/>
    </row>
    <row r="43" spans="1:12">
      <c r="A43" s="47"/>
      <c r="B43" s="47" t="s">
        <v>87</v>
      </c>
      <c r="C43" s="47"/>
      <c r="D43" s="47"/>
      <c r="E43" s="47"/>
      <c r="F43" s="47"/>
      <c r="G43" s="47" t="s">
        <v>213</v>
      </c>
      <c r="H43" s="47"/>
      <c r="I43" s="47"/>
      <c r="J43" s="47"/>
    </row>
    <row r="44" spans="1:12">
      <c r="A44" s="47"/>
      <c r="B44" s="47"/>
      <c r="C44" s="47"/>
      <c r="D44" s="47"/>
      <c r="E44" s="47"/>
      <c r="F44" s="47"/>
      <c r="G44" s="47"/>
      <c r="H44" s="47"/>
      <c r="I44" s="47"/>
      <c r="J44" s="47"/>
    </row>
    <row r="45" spans="1:12">
      <c r="A45" s="47"/>
      <c r="B45" s="47" t="s">
        <v>88</v>
      </c>
      <c r="C45" s="47"/>
      <c r="D45" s="47"/>
      <c r="E45" s="47"/>
      <c r="F45" s="47"/>
      <c r="G45" s="47" t="s">
        <v>213</v>
      </c>
      <c r="H45" s="47"/>
      <c r="I45" s="47"/>
      <c r="J45" s="47"/>
    </row>
    <row r="46" spans="1:12">
      <c r="A46" s="47"/>
      <c r="B46" s="47"/>
      <c r="C46" s="47"/>
      <c r="D46" s="47"/>
      <c r="E46" s="47"/>
      <c r="F46" s="47"/>
      <c r="G46" s="47"/>
      <c r="H46" s="47"/>
      <c r="I46" s="47"/>
      <c r="J46" s="47"/>
    </row>
  </sheetData>
  <mergeCells count="22">
    <mergeCell ref="V5:V6"/>
    <mergeCell ref="W5:W6"/>
    <mergeCell ref="S5:S6"/>
    <mergeCell ref="T5:T6"/>
    <mergeCell ref="U5:U6"/>
    <mergeCell ref="J36:K36"/>
    <mergeCell ref="O5:O6"/>
    <mergeCell ref="P5:P6"/>
    <mergeCell ref="M5:M6"/>
    <mergeCell ref="N5:N6"/>
    <mergeCell ref="J5:K5"/>
    <mergeCell ref="L5:L6"/>
    <mergeCell ref="A3:I3"/>
    <mergeCell ref="B5:C6"/>
    <mergeCell ref="A2:J2"/>
    <mergeCell ref="E32:F32"/>
    <mergeCell ref="F5:H5"/>
    <mergeCell ref="A5:A6"/>
    <mergeCell ref="D5:E5"/>
    <mergeCell ref="A4:B4"/>
    <mergeCell ref="D4:E4"/>
    <mergeCell ref="C29:G29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R45"/>
  <sheetViews>
    <sheetView topLeftCell="A13" zoomScale="64" zoomScaleNormal="64" workbookViewId="0">
      <selection activeCell="T37" sqref="T37"/>
    </sheetView>
  </sheetViews>
  <sheetFormatPr defaultRowHeight="15"/>
  <cols>
    <col min="1" max="1" width="7.28515625" customWidth="1"/>
    <col min="2" max="3" width="0" hidden="1" customWidth="1"/>
    <col min="5" max="5" width="10.7109375" customWidth="1"/>
    <col min="6" max="6" width="15.7109375" customWidth="1"/>
    <col min="7" max="7" width="3.85546875" customWidth="1"/>
    <col min="8" max="8" width="12.28515625" hidden="1" customWidth="1"/>
    <col min="9" max="10" width="9.140625" hidden="1" customWidth="1"/>
    <col min="11" max="11" width="10.140625" hidden="1" customWidth="1"/>
    <col min="12" max="12" width="16.7109375" customWidth="1"/>
    <col min="13" max="13" width="11" hidden="1" customWidth="1"/>
    <col min="14" max="14" width="11.5703125" hidden="1" customWidth="1"/>
    <col min="15" max="15" width="8.85546875" customWidth="1"/>
    <col min="16" max="16" width="10.140625" customWidth="1"/>
    <col min="17" max="17" width="9.28515625" customWidth="1"/>
    <col min="18" max="18" width="9" customWidth="1"/>
    <col min="19" max="19" width="9" hidden="1" customWidth="1"/>
    <col min="20" max="21" width="9" customWidth="1"/>
    <col min="22" max="22" width="11.7109375" customWidth="1"/>
    <col min="23" max="23" width="11.140625" customWidth="1"/>
    <col min="24" max="25" width="14.7109375" customWidth="1"/>
    <col min="26" max="26" width="7.5703125" hidden="1" customWidth="1"/>
    <col min="27" max="27" width="7.5703125" customWidth="1"/>
    <col min="28" max="28" width="15" customWidth="1"/>
    <col min="29" max="29" width="13.42578125" customWidth="1"/>
    <col min="30" max="30" width="28" customWidth="1"/>
    <col min="31" max="31" width="13.42578125" customWidth="1"/>
    <col min="32" max="32" width="11.85546875" customWidth="1"/>
    <col min="33" max="34" width="11.5703125" customWidth="1"/>
    <col min="44" max="44" width="9.140625" customWidth="1"/>
    <col min="46" max="46" width="9.140625" customWidth="1"/>
    <col min="47" max="48" width="14.85546875" hidden="1" customWidth="1"/>
    <col min="49" max="49" width="10.28515625" customWidth="1"/>
    <col min="61" max="62" width="0" hidden="1" customWidth="1"/>
    <col min="66" max="66" width="0" hidden="1" customWidth="1"/>
  </cols>
  <sheetData>
    <row r="1" spans="1:70" ht="15" customHeight="1">
      <c r="D1" s="96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18"/>
      <c r="T1" s="18"/>
      <c r="U1" s="18"/>
      <c r="V1" s="18"/>
      <c r="W1" s="18"/>
      <c r="Z1" s="72"/>
      <c r="AA1" s="72"/>
      <c r="AB1" s="72"/>
      <c r="AC1" s="72"/>
      <c r="AD1" s="72"/>
      <c r="AE1" s="72"/>
      <c r="AF1" s="18"/>
      <c r="AG1" s="18"/>
      <c r="AH1" s="18"/>
      <c r="AI1" s="93"/>
    </row>
    <row r="2" spans="1:70" ht="23.25" thickBot="1">
      <c r="D2" s="519" t="s">
        <v>244</v>
      </c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  <c r="AC2" s="520"/>
      <c r="AD2" s="520"/>
      <c r="AE2" s="520"/>
      <c r="AF2" s="520"/>
      <c r="AG2" s="520"/>
      <c r="AH2" s="351"/>
      <c r="AI2" s="93"/>
    </row>
    <row r="3" spans="1:70" ht="41.25" customHeight="1" thickBot="1">
      <c r="D3" s="9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371</v>
      </c>
      <c r="Z3" s="97"/>
      <c r="AA3" s="97"/>
      <c r="AB3" s="97"/>
      <c r="AC3" s="97"/>
      <c r="AD3" s="18"/>
      <c r="AE3" s="18"/>
      <c r="AF3" s="18"/>
      <c r="AG3" s="18"/>
      <c r="AH3" s="18"/>
      <c r="AI3" s="93"/>
      <c r="AJ3" s="180"/>
      <c r="AK3" s="180"/>
      <c r="AN3" s="514"/>
      <c r="AO3" s="514"/>
      <c r="AP3" s="514"/>
      <c r="AQ3" s="514"/>
      <c r="AR3" s="223"/>
    </row>
    <row r="4" spans="1:70" ht="16.5" customHeight="1" thickBot="1">
      <c r="D4" s="524"/>
      <c r="E4" s="525"/>
      <c r="F4" s="525"/>
      <c r="G4" s="525"/>
      <c r="H4" s="525"/>
      <c r="I4" s="525"/>
      <c r="J4" s="525"/>
      <c r="K4" s="525"/>
      <c r="L4" s="526"/>
      <c r="M4" s="215"/>
      <c r="N4" s="215"/>
      <c r="O4" s="514" t="s">
        <v>245</v>
      </c>
      <c r="P4" s="514"/>
      <c r="Q4" s="514"/>
      <c r="R4" s="514"/>
      <c r="S4" s="533" t="s">
        <v>38</v>
      </c>
      <c r="T4" s="514" t="s">
        <v>309</v>
      </c>
      <c r="U4" s="375"/>
      <c r="V4" s="514" t="s">
        <v>5</v>
      </c>
      <c r="W4" s="514" t="s">
        <v>38</v>
      </c>
      <c r="X4" s="536" t="s">
        <v>314</v>
      </c>
      <c r="Y4" s="537"/>
      <c r="Z4" s="523" t="s">
        <v>38</v>
      </c>
      <c r="AA4" s="544" t="s">
        <v>38</v>
      </c>
      <c r="AB4" s="544" t="s">
        <v>315</v>
      </c>
      <c r="AC4" s="544" t="s">
        <v>38</v>
      </c>
      <c r="AD4" s="521" t="s">
        <v>265</v>
      </c>
      <c r="AE4" s="522"/>
      <c r="AF4" s="527" t="s">
        <v>38</v>
      </c>
      <c r="AG4" s="530" t="s">
        <v>5</v>
      </c>
      <c r="AH4" s="521" t="s">
        <v>369</v>
      </c>
      <c r="AI4" s="522"/>
      <c r="AJ4" s="517">
        <f>'Исходные данные'!F4</f>
        <v>0</v>
      </c>
      <c r="AK4" s="518"/>
      <c r="AL4" s="34"/>
      <c r="AN4" s="514" t="s">
        <v>245</v>
      </c>
      <c r="AO4" s="514"/>
      <c r="AP4" s="514"/>
      <c r="AQ4" s="514"/>
      <c r="AR4" s="375"/>
      <c r="AS4" s="514" t="s">
        <v>309</v>
      </c>
      <c r="AT4" s="542" t="s">
        <v>372</v>
      </c>
      <c r="AU4" s="376"/>
      <c r="AV4" s="376"/>
      <c r="AW4" s="514" t="s">
        <v>359</v>
      </c>
      <c r="AX4" s="514"/>
      <c r="AY4" s="536" t="s">
        <v>314</v>
      </c>
      <c r="AZ4" s="537"/>
      <c r="BA4" s="544" t="s">
        <v>360</v>
      </c>
      <c r="BB4" s="556" t="s">
        <v>315</v>
      </c>
      <c r="BC4" s="566"/>
      <c r="BD4" s="544" t="s">
        <v>366</v>
      </c>
      <c r="BE4" s="544" t="s">
        <v>373</v>
      </c>
      <c r="BF4" s="544" t="s">
        <v>374</v>
      </c>
      <c r="BG4" s="556" t="s">
        <v>376</v>
      </c>
      <c r="BH4" s="544" t="s">
        <v>375</v>
      </c>
      <c r="BI4" s="556" t="s">
        <v>365</v>
      </c>
      <c r="BJ4" s="544" t="s">
        <v>367</v>
      </c>
      <c r="BK4" s="521" t="s">
        <v>265</v>
      </c>
      <c r="BL4" s="521"/>
      <c r="BM4" s="521"/>
      <c r="BN4" s="522"/>
      <c r="BO4" s="556" t="s">
        <v>368</v>
      </c>
      <c r="BP4" s="550" t="s">
        <v>369</v>
      </c>
      <c r="BQ4" s="551"/>
      <c r="BR4" s="552"/>
    </row>
    <row r="5" spans="1:70" ht="39" customHeight="1" thickBot="1">
      <c r="D5" s="511" t="s">
        <v>227</v>
      </c>
      <c r="E5" s="513" t="s">
        <v>4</v>
      </c>
      <c r="F5" s="513" t="s">
        <v>0</v>
      </c>
      <c r="G5" s="514" t="s">
        <v>44</v>
      </c>
      <c r="H5" s="513" t="s">
        <v>2</v>
      </c>
      <c r="I5" s="216"/>
      <c r="J5" s="513" t="s">
        <v>38</v>
      </c>
      <c r="K5" s="513" t="s">
        <v>3</v>
      </c>
      <c r="L5" s="513" t="s">
        <v>313</v>
      </c>
      <c r="M5" s="513" t="s">
        <v>38</v>
      </c>
      <c r="N5" s="513" t="s">
        <v>5</v>
      </c>
      <c r="O5" s="521" t="s">
        <v>264</v>
      </c>
      <c r="P5" s="521"/>
      <c r="Q5" s="521" t="s">
        <v>318</v>
      </c>
      <c r="R5" s="521"/>
      <c r="S5" s="534"/>
      <c r="T5" s="514"/>
      <c r="U5" s="375"/>
      <c r="V5" s="514"/>
      <c r="W5" s="514"/>
      <c r="X5" s="538"/>
      <c r="Y5" s="539"/>
      <c r="Z5" s="523"/>
      <c r="AA5" s="545"/>
      <c r="AB5" s="545"/>
      <c r="AC5" s="545"/>
      <c r="AD5" s="522"/>
      <c r="AE5" s="522"/>
      <c r="AF5" s="528"/>
      <c r="AG5" s="531"/>
      <c r="AH5" s="522"/>
      <c r="AI5" s="522"/>
      <c r="AJ5" s="517"/>
      <c r="AK5" s="518"/>
      <c r="AN5" s="352" t="s">
        <v>264</v>
      </c>
      <c r="AO5" s="352"/>
      <c r="AP5" s="352" t="s">
        <v>318</v>
      </c>
      <c r="AQ5" s="352"/>
      <c r="AR5" s="374"/>
      <c r="AS5" s="514"/>
      <c r="AT5" s="570"/>
      <c r="AU5" s="361"/>
      <c r="AV5" s="361"/>
      <c r="AW5" s="514"/>
      <c r="AX5" s="514"/>
      <c r="AY5" s="538"/>
      <c r="AZ5" s="539"/>
      <c r="BA5" s="545"/>
      <c r="BB5" s="557"/>
      <c r="BC5" s="567"/>
      <c r="BD5" s="545"/>
      <c r="BE5" s="545"/>
      <c r="BF5" s="545"/>
      <c r="BG5" s="557"/>
      <c r="BH5" s="545"/>
      <c r="BI5" s="557"/>
      <c r="BJ5" s="545"/>
      <c r="BK5" s="522"/>
      <c r="BL5" s="522"/>
      <c r="BM5" s="522"/>
      <c r="BN5" s="522"/>
      <c r="BO5" s="557"/>
      <c r="BP5" s="553"/>
      <c r="BQ5" s="554"/>
      <c r="BR5" s="555"/>
    </row>
    <row r="6" spans="1:70" ht="31.5" customHeight="1" thickBot="1">
      <c r="B6" s="482"/>
      <c r="C6" s="510"/>
      <c r="D6" s="512"/>
      <c r="E6" s="513"/>
      <c r="F6" s="513"/>
      <c r="G6" s="514"/>
      <c r="H6" s="513"/>
      <c r="I6" s="216"/>
      <c r="J6" s="513"/>
      <c r="K6" s="513"/>
      <c r="L6" s="513"/>
      <c r="M6" s="513"/>
      <c r="N6" s="513"/>
      <c r="O6" s="527" t="s">
        <v>31</v>
      </c>
      <c r="P6" s="542" t="s">
        <v>262</v>
      </c>
      <c r="Q6" s="527" t="s">
        <v>32</v>
      </c>
      <c r="R6" s="527" t="s">
        <v>5</v>
      </c>
      <c r="S6" s="534"/>
      <c r="T6" s="514"/>
      <c r="U6" s="375"/>
      <c r="V6" s="514"/>
      <c r="W6" s="514"/>
      <c r="X6" s="538"/>
      <c r="Y6" s="539"/>
      <c r="Z6" s="523"/>
      <c r="AA6" s="545"/>
      <c r="AB6" s="545"/>
      <c r="AC6" s="545"/>
      <c r="AD6" s="527" t="s">
        <v>246</v>
      </c>
      <c r="AE6" s="527" t="s">
        <v>7</v>
      </c>
      <c r="AF6" s="528"/>
      <c r="AG6" s="531"/>
      <c r="AH6" s="560" t="s">
        <v>38</v>
      </c>
      <c r="AI6" s="558" t="s">
        <v>5</v>
      </c>
      <c r="AJ6" s="517"/>
      <c r="AK6" s="518"/>
      <c r="AN6" s="350" t="s">
        <v>6</v>
      </c>
      <c r="AO6" s="349" t="s">
        <v>359</v>
      </c>
      <c r="AP6" s="350" t="s">
        <v>6</v>
      </c>
      <c r="AQ6" s="349" t="s">
        <v>359</v>
      </c>
      <c r="AR6" s="376"/>
      <c r="AS6" s="514"/>
      <c r="AT6" s="543"/>
      <c r="AU6" s="377"/>
      <c r="AV6" s="377"/>
      <c r="AW6" s="514"/>
      <c r="AX6" s="514"/>
      <c r="AY6" s="538"/>
      <c r="AZ6" s="539"/>
      <c r="BA6" s="545"/>
      <c r="BB6" s="557"/>
      <c r="BC6" s="567"/>
      <c r="BD6" s="545"/>
      <c r="BE6" s="545"/>
      <c r="BF6" s="545"/>
      <c r="BG6" s="557"/>
      <c r="BH6" s="545"/>
      <c r="BI6" s="557"/>
      <c r="BJ6" s="545"/>
      <c r="BK6" t="s">
        <v>384</v>
      </c>
      <c r="BO6" s="557"/>
      <c r="BP6" s="562" t="s">
        <v>6</v>
      </c>
      <c r="BQ6" s="564" t="s">
        <v>370</v>
      </c>
      <c r="BR6" s="548" t="s">
        <v>359</v>
      </c>
    </row>
    <row r="7" spans="1:70" ht="30" customHeight="1" thickBot="1">
      <c r="B7" s="482"/>
      <c r="C7" s="510"/>
      <c r="D7" s="512"/>
      <c r="E7" s="513"/>
      <c r="F7" s="513"/>
      <c r="G7" s="514"/>
      <c r="H7" s="513"/>
      <c r="I7" s="216"/>
      <c r="J7" s="513"/>
      <c r="K7" s="513"/>
      <c r="L7" s="513"/>
      <c r="M7" s="513"/>
      <c r="N7" s="513"/>
      <c r="O7" s="529"/>
      <c r="P7" s="543"/>
      <c r="Q7" s="529"/>
      <c r="R7" s="529"/>
      <c r="S7" s="535"/>
      <c r="T7" s="218" t="s">
        <v>7</v>
      </c>
      <c r="U7" s="378"/>
      <c r="V7" s="217"/>
      <c r="W7" s="217"/>
      <c r="X7" s="540"/>
      <c r="Y7" s="541"/>
      <c r="Z7" s="217"/>
      <c r="AA7" s="546"/>
      <c r="AB7" s="546"/>
      <c r="AC7" s="546"/>
      <c r="AD7" s="529"/>
      <c r="AE7" s="529"/>
      <c r="AF7" s="529"/>
      <c r="AG7" s="532"/>
      <c r="AH7" s="561"/>
      <c r="AI7" s="559"/>
      <c r="AJ7" s="517"/>
      <c r="AK7" s="518"/>
      <c r="AN7" s="353"/>
      <c r="AO7" s="361"/>
      <c r="AP7" s="353"/>
      <c r="AQ7" s="353"/>
      <c r="AR7" s="380"/>
      <c r="AS7" s="362"/>
      <c r="AT7" s="362"/>
      <c r="AU7" s="362"/>
      <c r="AV7" s="362"/>
      <c r="AW7" s="350"/>
      <c r="AX7" s="350"/>
      <c r="AY7" s="538"/>
      <c r="AZ7" s="539"/>
      <c r="BA7" s="545"/>
      <c r="BB7" s="568"/>
      <c r="BC7" s="569"/>
      <c r="BD7" s="545"/>
      <c r="BE7" s="545"/>
      <c r="BF7" s="545"/>
      <c r="BG7" s="568"/>
      <c r="BH7" s="545"/>
      <c r="BI7" s="568"/>
      <c r="BJ7" s="545"/>
      <c r="BO7" s="557"/>
      <c r="BP7" s="563"/>
      <c r="BQ7" s="565"/>
      <c r="BR7" s="549"/>
    </row>
    <row r="8" spans="1:70" ht="65.25" customHeight="1" thickBot="1">
      <c r="A8" s="115"/>
      <c r="B8" s="482"/>
      <c r="C8" s="510"/>
      <c r="D8" s="140" t="s">
        <v>247</v>
      </c>
      <c r="E8" s="206">
        <f>'Исходные данные'!B6</f>
        <v>0</v>
      </c>
      <c r="F8" s="156">
        <f>'Исходные данные'!C6</f>
        <v>0</v>
      </c>
      <c r="G8" s="156">
        <f>'Исходные данные'!D6</f>
        <v>0</v>
      </c>
      <c r="H8" s="156">
        <f>'Исходные данные'!F6</f>
        <v>0</v>
      </c>
      <c r="I8" s="156" t="str">
        <f>'Труматик гермики'!E7</f>
        <v>--</v>
      </c>
      <c r="J8" s="156">
        <f>'Исходные данные'!K6</f>
        <v>0</v>
      </c>
      <c r="K8" s="156">
        <f>'Исходные данные'!G6</f>
        <v>0</v>
      </c>
      <c r="L8" s="371" t="str">
        <f>'Труматик гермики'!E8</f>
        <v>--</v>
      </c>
      <c r="M8" s="156">
        <f>'Исходные данные'!K6</f>
        <v>0</v>
      </c>
      <c r="N8" s="156">
        <f>'Исходные данные'!H6</f>
        <v>0</v>
      </c>
      <c r="O8" s="159">
        <f>'Исходные данные'!F6</f>
        <v>0</v>
      </c>
      <c r="P8" s="159">
        <f>IF('Исходные данные'!H6&gt;0,'Исходные данные'!H6*2,0)</f>
        <v>0</v>
      </c>
      <c r="Q8" s="159">
        <f>'Исходные данные'!G6</f>
        <v>0</v>
      </c>
      <c r="R8" s="159">
        <f>IF('Исходные данные'!H6&gt;0,'Исходные данные'!H6*2,0)</f>
        <v>0</v>
      </c>
      <c r="S8" s="159">
        <f>'Исходные данные'!K6</f>
        <v>0</v>
      </c>
      <c r="T8" s="159" t="str">
        <f>'Задание на Trumpf'!S7</f>
        <v>---</v>
      </c>
      <c r="U8" s="159">
        <f>'Труматик гермики'!Q7</f>
        <v>0</v>
      </c>
      <c r="V8" s="159">
        <f>IF(U8="-----",0,'Задание на гибку'!U8*'Исходные данные'!H6)</f>
        <v>0</v>
      </c>
      <c r="W8" s="159" t="str">
        <f>IF('Исходные данные'!L6=1,"ОЦ",IF('Исходные данные'!L6=2,"нерж",IF('Исходные данные'!L6=3,"ОЦ",IF('Исходные данные'!L6=4,"ОЦ","---"))))</f>
        <v>---</v>
      </c>
      <c r="X8" s="516" t="str">
        <f>IF('Исходные данные'!M6=1,"Комплект кожухов","___")</f>
        <v>___</v>
      </c>
      <c r="Y8" s="516"/>
      <c r="Z8" s="159">
        <f>'Исходные данные'!K6</f>
        <v>0</v>
      </c>
      <c r="AA8" s="159" t="str">
        <f>W8</f>
        <v>---</v>
      </c>
      <c r="AB8" s="159">
        <f>IF('Исходные данные'!M6=1,'Задание Ножницы лента'!I9,IF('Исходные данные'!M6=2,'Задание Ножницы лента'!I9,IF('Исходные данные'!M6=3,'Задание Ножницы лента'!I9,IF('Исходные данные'!M6=4,"---",))))</f>
        <v>0</v>
      </c>
      <c r="AC8" s="159" t="str">
        <f>'Задание Ножницы лента'!M9</f>
        <v>---</v>
      </c>
      <c r="AD8" s="159" t="str">
        <f>IF('Исходные данные'!M6=1,"ВГ 111.00.00.003",IF('Исходные данные'!M6=3,"ВГ 111.00.00.003",IF('Исходные данные'!M6=2,"ВГ 050.00.00.005",IF('Исходные данные'!M6=4,"ВГ 050.00.00.005","---"))))</f>
        <v>---</v>
      </c>
      <c r="AE8" s="159" t="str">
        <f>'Задание на Trumpf'!Y7</f>
        <v>---</v>
      </c>
      <c r="AF8" s="159" t="str">
        <f>W8</f>
        <v>---</v>
      </c>
      <c r="AG8" s="368">
        <f>IF(AE8&gt;0,'Исходные данные'!H6*2,0)</f>
        <v>0</v>
      </c>
      <c r="AH8" s="369" t="str">
        <f>W8</f>
        <v>---</v>
      </c>
      <c r="AI8" s="365">
        <f>'Исходные данные'!H6</f>
        <v>0</v>
      </c>
      <c r="AJ8" s="518"/>
      <c r="AK8" s="518"/>
      <c r="AL8" s="119"/>
      <c r="AN8" s="18"/>
      <c r="AO8" s="359">
        <f>IF(AA8="ОЦ",0.024*P8,(0.024*1.2)*P8)</f>
        <v>0</v>
      </c>
      <c r="AP8" s="18"/>
      <c r="AQ8" s="359">
        <f>IF(AA8="ОЦ",0.024*R8,(0.024*1.2)*R8)</f>
        <v>0</v>
      </c>
      <c r="AR8" s="18" t="str">
        <f>IF('Исходные данные'!M6=2,IF((AND('Исходные данные'!F6&gt;485,'Исходные данные'!F6&lt;635)),3,IF((AND('Исходные данные'!F6&gt;635,'Исходные данные'!F6&lt;785)),4,IF((AND('Исходные данные'!F6&gt;785,'Исходные данные'!F6&lt;935)),5,IF((AND('Исходные данные'!F6&gt;935,'Исходные данные'!F6&lt;1085)),6,IF((AND('Исходные данные'!F6&gt;1085,'Исходные данные'!F6&lt;1235)),7,IF((AND('Исходные данные'!F6&gt;1235,'Исходные данные'!F6&lt;1385)),8,IF((AND('Исходные данные'!F6&gt;1385,'Исходные данные'!F6&lt;1535)),9,IF((AND('Исходные данные'!F6&gt;1535,'Исходные данные'!F6&lt;1685)),10,IF((AND('Исходные данные'!F6&gt;1685,'Исходные данные'!F6&lt;1835)),11,IF((AND('Исходные данные'!F6&gt;1835,'Исходные данные'!F6&lt;1985)),12,IF((AND('Исходные данные'!F6&gt;1985,'Исходные данные'!F6&lt;2135)),13,IF((AND('Исходные данные'!F6&gt;2135,'Исходные данные'!F6&lt;2285)),14,IF((AND('Исходные данные'!F6&gt;2285,'Исходные данные'!F6&lt;2435)),15,IF((AND('Исходные данные'!F6&gt;180,'Исходные данные'!F6&lt;315)),1,IF((AND('Исходные данные'!F6&gt;315,'Исходные данные'!F6&lt;485)),2,IF(('Исходные данные'!F6&lt;=180),1,0)))))))))))))))),IF(('Исходные данные'!T6=0),IF(((AND('Исходные данные'!F6&gt;=165,'Исходные данные'!F6&lt;301))),1,IF(((AND('Исходные данные'!F6&gt;=301,'Исходные данные'!F6&lt;441))),2,IF(((AND('Исходные данные'!F6&gt;=441,'Исходные данные'!F6&lt;581))),3,IF(((AND('Исходные данные'!F6&gt;=581,'Исходные данные'!F6&lt;721))),4,IF(((AND('Исходные данные'!F6&gt;=721,'Исходные данные'!F6&lt;861))),5,IF(((AND('Исходные данные'!F6&gt;=861,'Исходные данные'!F6&lt;1000))),6,IF(((AND('Исходные данные'!F6&gt;=1000,'Исходные данные'!F6&lt;1141))),7,IF(((AND('Исходные данные'!F6&gt;=1141,'Исходные данные'!F6&lt;1281))),8,IF(((AND('Исходные данные'!F6&gt;=1281,'Исходные данные'!F6&lt;1421))),9,IF(((AND('Исходные данные'!F6&gt;=1421,'Исходные данные'!F6&lt;1561))),10,IF(((AND('Исходные данные'!F6&gt;=1561,'Исходные данные'!F6&lt;1701))),11,IF(((AND('Исходные данные'!F6&gt;=1701,'Исходные данные'!F6&lt;1841))),12,IF(((AND('Исходные данные'!F6&gt;=1841,'Исходные данные'!F6&lt;1981))),13,IF(((AND('Исходные данные'!F6&gt;=1981,'Исходные данные'!F6&lt;2121))),14,IF(((AND('Исходные данные'!F6&gt;=2121,'Исходные данные'!F6&lt;2261))),15,IF(((AND('Исходные данные'!F6&gt;=2261,'Исходные данные'!F6&lt;2400))),16,IF(((AND('Исходные данные'!F6&gt;=2400,'Исходные данные'!F6&lt;2410))),17,"---"))))))))))))))))),IF('Исходные данные'!M6=4,IF((AND('Исходные данные'!F6&gt;485,'Исходные данные'!F6&lt;635)),3,IF((AND('Исходные данные'!F6&gt;635,'Исходные данные'!F6&lt;785)),4,IF((AND('Исходные данные'!F6&gt;785,'Исходные данные'!F6&lt;935)),5,IF((AND('Исходные данные'!F6&gt;935,'Исходные данные'!F6&lt;1085)),6,IF((AND('Исходные данные'!F6&gt;1085,'Исходные данные'!F6&lt;1235)),7,IF((AND('Исходные данные'!F6&gt;1235,'Исходные данные'!F6&lt;1385)),8,IF((AND('Исходные данные'!F6&gt;1385,'Исходные данные'!F6&lt;1535)),9,IF((AND('Исходные данные'!F6&gt;1535,'Исходные данные'!F6&lt;1685)),10,IF((AND('Исходные данные'!F6&gt;1685,'Исходные данные'!F6&lt;1835)),11,IF((AND('Исходные данные'!F6&gt;1835,'Исходные данные'!F6&lt;1985)),12,IF((AND('Исходные данные'!F6&gt;1985,'Исходные данные'!F6&lt;2135)),13,IF((AND('Исходные данные'!F6&gt;2135,'Исходные данные'!F6&lt;2285)),14,IF((AND('Исходные данные'!F6&gt;2285,'Исходные данные'!F6&lt;2435)),15,IF((AND('Исходные данные'!F6&gt;180,'Исходные данные'!F6&lt;315)),1,IF((AND('Исходные данные'!F6&gt;315,'Исходные данные'!F6&lt;485)),2,IF(('Исходные данные'!F6&lt;=180),1,0)))))))))))))))),IF(('Исходные данные'!T6=0),IF(((AND('Исходные данные'!F6&gt;=165,'Исходные данные'!F6&lt;301))),1,IF(((AND('Исходные данные'!F6&gt;=301,'Исходные данные'!F6&lt;441))),2,IF(((AND('Исходные данные'!F6&gt;=441,'Исходные данные'!F6&lt;581))),3,IF(((AND('Исходные данные'!F6&gt;=581,'Исходные данные'!F6&lt;721))),4,IF(((AND('Исходные данные'!F6&gt;=721,'Исходные данные'!F6&lt;861))),5,IF(((AND('Исходные данные'!F6&gt;=861,'Исходные данные'!F6&lt;1000))),6,IF(((AND('Исходные данные'!F6&gt;=1000,'Исходные данные'!F6&lt;1141))),7,IF(((AND('Исходные данные'!F6&gt;=1141,'Исходные данные'!F6&lt;1281))),8,IF(((AND('Исходные данные'!F6&gt;=1281,'Исходные данные'!F6&lt;1421))),9,IF(((AND('Исходные данные'!F6&gt;=1421,'Исходные данные'!F6&lt;1561))),10,IF(((AND('Исходные данные'!F6&gt;=1561,'Исходные данные'!F6&lt;1701))),11,IF(((AND('Исходные данные'!F6&gt;=1701,'Исходные данные'!F6&lt;1841))),12,IF(((AND('Исходные данные'!F6&gt;=1841,'Исходные данные'!F6&lt;1981))),13,IF(((AND('Исходные данные'!F6&gt;=1981,'Исходные данные'!F6&lt;2121))),14,IF(((AND('Исходные данные'!F6&gt;=2121,'Исходные данные'!F6&lt;2261))),15,IF(((AND('Исходные данные'!F6&gt;=2261,'Исходные данные'!F6&lt;2400))),16,IF(((AND('Исходные данные'!F6&gt;=2400,'Исходные данные'!F6&lt;2410))),17,"---"))))))))))))))))),"----"))))</f>
        <v>----</v>
      </c>
      <c r="AS8" s="363">
        <f>IF(F8="Регуляр",AR8,0)</f>
        <v>0</v>
      </c>
      <c r="AT8" s="363">
        <f>AS8*'Исходные данные'!H6</f>
        <v>0</v>
      </c>
      <c r="AU8" s="363">
        <f>IF('Исходные данные'!I6&lt;=140,0.013,IF('Исходные данные'!I6&lt;=290,0.021,IF('Исходные данные'!I6&gt;=300,0.042,0)))</f>
        <v>1.2999999999999999E-2</v>
      </c>
      <c r="AV8" s="363">
        <f>IF(AT8=0,0,AU8)</f>
        <v>0</v>
      </c>
      <c r="AW8" s="365">
        <f>IF(AA8="оц",AV8*AT8,(AV8*1.2)*AT8)</f>
        <v>0</v>
      </c>
      <c r="AX8" s="363"/>
      <c r="AY8" s="465">
        <f>IF(X8="комплект кожухов",'Исходные данные'!H6,0)</f>
        <v>0</v>
      </c>
      <c r="AZ8" s="465"/>
      <c r="BA8" s="359">
        <f>IF(AA8="оц",0.084*AY8,(0.084*1.2)*AY8)</f>
        <v>0</v>
      </c>
      <c r="BB8">
        <f>'Исходные данные'!M6</f>
        <v>0</v>
      </c>
      <c r="BC8">
        <f>IF(BB8=1,IF('Исходные данные'!F6&lt;=1000,0.017*2,IF('Исходные данные'!F6&lt;=2000,0.022*2,IF('Исходные данные'!F6&gt;2000,0.028*2,0))),IF(BB8=2,IF('Исходные данные'!F6&lt;=1000,0.017*2,IF('Исходные данные'!F6&lt;=2000,0.022*2,IF('Исходные данные'!F6&gt;2000,0.028*2,0))),IF(BB8=3,IF('Исходные данные'!F6&lt;=1000,0.017*2,IF('Исходные данные'!F6&lt;=2000,0.022*2,IF('Исходные данные'!F6&gt;2000,0.028*2,0))),0)))</f>
        <v>0</v>
      </c>
      <c r="BD8" s="359">
        <f>BC8*'Исходные данные'!H6</f>
        <v>0</v>
      </c>
      <c r="BE8" s="18">
        <f>'Труматик гермики'!P7</f>
        <v>0</v>
      </c>
      <c r="BF8" s="18">
        <f>AS8</f>
        <v>0</v>
      </c>
      <c r="BG8">
        <f>IF(BE8&gt;0,BE8*0.022,IF(BF8&gt;0,BF8*0.022,0))</f>
        <v>0</v>
      </c>
      <c r="BH8" s="359">
        <f>BG8*'Исходные данные'!H6</f>
        <v>0</v>
      </c>
      <c r="BI8">
        <f>IF(F8="Регуляр",IF(BB8=1,0.022*'Труматик гермики'!AB7,0),0)</f>
        <v>0</v>
      </c>
      <c r="BJ8" s="359">
        <f>BI8*'Исходные данные'!H6</f>
        <v>0</v>
      </c>
      <c r="BK8">
        <f>IF(AD8="ВГ 111.00.00.003",1,IF(AD8="ВГ 050.00.00.005",2,0))</f>
        <v>0</v>
      </c>
      <c r="BL8">
        <f>IF(BK8=1,IF(AH8="оц",3,4),IF(BK8=2,IF(AH8="оц",5,6),0))</f>
        <v>0</v>
      </c>
      <c r="BM8">
        <f>IF(BL8=3,0.006*2*'Исходные данные'!H6,IF(BL8=4,0.006*1.2*2*'Исходные данные'!H6,IF(BL8=5,IF('Исходные данные'!G6&lt;=290,0.006*2*'Исходные данные'!H6,0.012*2*'Исходные данные'!H6),IF(BL8=6,IF('Исходные данные'!G6&lt;=290,0.006*1.2*2*'Исходные данные'!H6,0.012*1.2*2*'Исходные данные'!H6),0))))</f>
        <v>0</v>
      </c>
      <c r="BN8">
        <f>IF(BK8=1,IF(AF8="ОЦ",0.012*2,IF(AF8="нерж",0.012*1.2*2,0)),IF(BK8=2,IF(AF8="ОЦ",0.012*2,IF(AF8="нерж",0.012*1.2*2,0)),0))</f>
        <v>0</v>
      </c>
      <c r="BO8" s="359">
        <f>BM8</f>
        <v>0</v>
      </c>
      <c r="BP8">
        <f>AI8</f>
        <v>0</v>
      </c>
      <c r="BQ8">
        <f>IF(AH8="ОЦ",IF('Исходные данные'!F6&lt;=2000,0.012,IF('Исходные данные'!F6&gt;2000,0.018,0)),IF(AH8="нерж",IF('Исходные данные'!F6&lt;=2000,0.012*1.2,IF('Исходные данные'!F6&gt;2000,0.018*1.2,0)),0))</f>
        <v>0</v>
      </c>
      <c r="BR8" s="359">
        <f>BQ8*BP8</f>
        <v>0</v>
      </c>
    </row>
    <row r="9" spans="1:70" ht="48" customHeight="1" thickBot="1">
      <c r="B9" s="482"/>
      <c r="C9" s="510"/>
      <c r="D9" s="142" t="s">
        <v>248</v>
      </c>
      <c r="E9" s="178">
        <f>'Исходные данные'!B7</f>
        <v>0</v>
      </c>
      <c r="F9" s="157">
        <f>'Исходные данные'!C7</f>
        <v>0</v>
      </c>
      <c r="G9" s="157">
        <f>'Исходные данные'!D7</f>
        <v>0</v>
      </c>
      <c r="H9" s="157">
        <f>'Исходные данные'!F7</f>
        <v>0</v>
      </c>
      <c r="I9" s="157" t="str">
        <f>'Труматик гермики'!E8</f>
        <v>--</v>
      </c>
      <c r="J9" s="157">
        <f>'Исходные данные'!K7</f>
        <v>0</v>
      </c>
      <c r="K9" s="157">
        <f>'Исходные данные'!G7</f>
        <v>0</v>
      </c>
      <c r="L9" s="157" t="str">
        <f>'Труматик гермики'!E8</f>
        <v>--</v>
      </c>
      <c r="M9" s="157">
        <f>'Исходные данные'!K7</f>
        <v>0</v>
      </c>
      <c r="N9" s="157">
        <f>'Исходные данные'!H7</f>
        <v>0</v>
      </c>
      <c r="O9" s="159">
        <f>'Исходные данные'!F7</f>
        <v>0</v>
      </c>
      <c r="P9" s="159">
        <f>IF('Исходные данные'!H7&gt;0,'Исходные данные'!H7*2,0)</f>
        <v>0</v>
      </c>
      <c r="Q9" s="159">
        <f>'Исходные данные'!G7</f>
        <v>0</v>
      </c>
      <c r="R9" s="159">
        <f>IF('Исходные данные'!H7&gt;0,'Исходные данные'!H7*2,0)</f>
        <v>0</v>
      </c>
      <c r="S9" s="159">
        <f>'Исходные данные'!K7</f>
        <v>0</v>
      </c>
      <c r="T9" s="159" t="str">
        <f>'Задание на Trumpf'!S8</f>
        <v>---</v>
      </c>
      <c r="U9" s="159">
        <f>'Труматик гермики'!Q8</f>
        <v>0</v>
      </c>
      <c r="V9" s="159">
        <f>IF(U9="-----",0,'Задание на гибку'!U9*'Исходные данные'!H7)</f>
        <v>0</v>
      </c>
      <c r="W9" s="159" t="str">
        <f>IF('Исходные данные'!L7=1,"ОЦ",IF('Исходные данные'!L7=2,"нерж",IF('Исходные данные'!L7=3,"ОЦ",IF('Исходные данные'!L7=4,"ОЦ","---"))))</f>
        <v>---</v>
      </c>
      <c r="X9" s="507" t="str">
        <f>IF('Исходные данные'!M7=1,"Комплект кожухов","___")</f>
        <v>___</v>
      </c>
      <c r="Y9" s="507"/>
      <c r="Z9" s="213">
        <f>'Исходные данные'!K7</f>
        <v>0</v>
      </c>
      <c r="AA9" s="159" t="str">
        <f t="shared" ref="AA9:AA28" si="0">W9</f>
        <v>---</v>
      </c>
      <c r="AB9" s="213">
        <f>IF('Исходные данные'!M7=1,'Задание Ножницы лента'!I10,IF('Исходные данные'!M7=2,'Задание Ножницы лента'!I10,IF('Исходные данные'!M7=3,'Задание Ножницы лента'!I10,IF('Исходные данные'!M7=4,"---",))))</f>
        <v>0</v>
      </c>
      <c r="AC9" s="213" t="str">
        <f>'Задание Ножницы лента'!M10</f>
        <v>---</v>
      </c>
      <c r="AD9" s="159" t="str">
        <f>IF('Исходные данные'!M7=1,"ВГ 111.00.00.003",IF('Исходные данные'!M7=3,"ВГ 111.00.00.003",IF('Исходные данные'!M7=2,"ВГ 050.00.00.005",IF('Исходные данные'!M7=4,"ВГ 050.00.00.005","---"))))</f>
        <v>---</v>
      </c>
      <c r="AE9" s="159" t="str">
        <f>'Задание на Trumpf'!Y8</f>
        <v>---</v>
      </c>
      <c r="AF9" s="159" t="str">
        <f t="shared" ref="AF9:AF28" si="1">W9</f>
        <v>---</v>
      </c>
      <c r="AG9" s="368">
        <f>IF(AE9&gt;0,'Исходные данные'!H7*2,0)</f>
        <v>0</v>
      </c>
      <c r="AH9" s="369" t="str">
        <f t="shared" ref="AH9:AH28" si="2">W9</f>
        <v>---</v>
      </c>
      <c r="AI9" s="366">
        <f>'Исходные данные'!H7</f>
        <v>0</v>
      </c>
      <c r="AJ9" s="370"/>
      <c r="AK9" s="112"/>
      <c r="AL9" s="119"/>
      <c r="AN9" s="18"/>
      <c r="AO9" s="356">
        <f t="shared" ref="AO9:AO28" si="3">IF(AA9="ОЦ",0.024*P9,(0.024*1.2)*P9)</f>
        <v>0</v>
      </c>
      <c r="AP9" s="18"/>
      <c r="AQ9" s="356">
        <f t="shared" ref="AQ9:AQ28" si="4">IF(AA9="ОЦ",0.024*R9,(0.024*1.2)*R9)</f>
        <v>0</v>
      </c>
      <c r="AR9" s="18" t="str">
        <f>IF('Исходные данные'!M7=2,IF((AND('Исходные данные'!F7&gt;485,'Исходные данные'!F7&lt;635)),3,IF((AND('Исходные данные'!F7&gt;635,'Исходные данные'!F7&lt;785)),4,IF((AND('Исходные данные'!F7&gt;785,'Исходные данные'!F7&lt;935)),5,IF((AND('Исходные данные'!F7&gt;935,'Исходные данные'!F7&lt;1085)),6,IF((AND('Исходные данные'!F7&gt;1085,'Исходные данные'!F7&lt;1235)),7,IF((AND('Исходные данные'!F7&gt;1235,'Исходные данные'!F7&lt;1385)),8,IF((AND('Исходные данные'!F7&gt;1385,'Исходные данные'!F7&lt;1535)),9,IF((AND('Исходные данные'!F7&gt;1535,'Исходные данные'!F7&lt;1685)),10,IF((AND('Исходные данные'!F7&gt;1685,'Исходные данные'!F7&lt;1835)),11,IF((AND('Исходные данные'!F7&gt;1835,'Исходные данные'!F7&lt;1985)),12,IF((AND('Исходные данные'!F7&gt;1985,'Исходные данные'!F7&lt;2135)),13,IF((AND('Исходные данные'!F7&gt;2135,'Исходные данные'!F7&lt;2285)),14,IF((AND('Исходные данные'!F7&gt;2285,'Исходные данные'!F7&lt;2435)),15,IF((AND('Исходные данные'!F7&gt;180,'Исходные данные'!F7&lt;315)),1,IF((AND('Исходные данные'!F7&gt;315,'Исходные данные'!F7&lt;485)),2,IF(('Исходные данные'!F7&lt;=180),1,0)))))))))))))))),IF(('Исходные данные'!T7=0),IF(((AND('Исходные данные'!F7&gt;=165,'Исходные данные'!F7&lt;301))),1,IF(((AND('Исходные данные'!F7&gt;=301,'Исходные данные'!F7&lt;441))),2,IF(((AND('Исходные данные'!F7&gt;=441,'Исходные данные'!F7&lt;581))),3,IF(((AND('Исходные данные'!F7&gt;=581,'Исходные данные'!F7&lt;721))),4,IF(((AND('Исходные данные'!F7&gt;=721,'Исходные данные'!F7&lt;861))),5,IF(((AND('Исходные данные'!F7&gt;=861,'Исходные данные'!F7&lt;1000))),6,IF(((AND('Исходные данные'!F7&gt;=1000,'Исходные данные'!F7&lt;1141))),7,IF(((AND('Исходные данные'!F7&gt;=1141,'Исходные данные'!F7&lt;1281))),8,IF(((AND('Исходные данные'!F7&gt;=1281,'Исходные данные'!F7&lt;1421))),9,IF(((AND('Исходные данные'!F7&gt;=1421,'Исходные данные'!F7&lt;1561))),10,IF(((AND('Исходные данные'!F7&gt;=1561,'Исходные данные'!F7&lt;1701))),11,IF(((AND('Исходные данные'!F7&gt;=1701,'Исходные данные'!F7&lt;1841))),12,IF(((AND('Исходные данные'!F7&gt;=1841,'Исходные данные'!F7&lt;1981))),13,IF(((AND('Исходные данные'!F7&gt;=1981,'Исходные данные'!F7&lt;2121))),14,IF(((AND('Исходные данные'!F7&gt;=2121,'Исходные данные'!F7&lt;2261))),15,IF(((AND('Исходные данные'!F7&gt;=2261,'Исходные данные'!F7&lt;2400))),16,IF(((AND('Исходные данные'!F7&gt;=2400,'Исходные данные'!F7&lt;2410))),17,"---"))))))))))))))))),IF('Исходные данные'!M7=4,IF((AND('Исходные данные'!F7&gt;485,'Исходные данные'!F7&lt;635)),3,IF((AND('Исходные данные'!F7&gt;635,'Исходные данные'!F7&lt;785)),4,IF((AND('Исходные данные'!F7&gt;785,'Исходные данные'!F7&lt;935)),5,IF((AND('Исходные данные'!F7&gt;935,'Исходные данные'!F7&lt;1085)),6,IF((AND('Исходные данные'!F7&gt;1085,'Исходные данные'!F7&lt;1235)),7,IF((AND('Исходные данные'!F7&gt;1235,'Исходные данные'!F7&lt;1385)),8,IF((AND('Исходные данные'!F7&gt;1385,'Исходные данные'!F7&lt;1535)),9,IF((AND('Исходные данные'!F7&gt;1535,'Исходные данные'!F7&lt;1685)),10,IF((AND('Исходные данные'!F7&gt;1685,'Исходные данные'!F7&lt;1835)),11,IF((AND('Исходные данные'!F7&gt;1835,'Исходные данные'!F7&lt;1985)),12,IF((AND('Исходные данные'!F7&gt;1985,'Исходные данные'!F7&lt;2135)),13,IF((AND('Исходные данные'!F7&gt;2135,'Исходные данные'!F7&lt;2285)),14,IF((AND('Исходные данные'!F7&gt;2285,'Исходные данные'!F7&lt;2435)),15,IF((AND('Исходные данные'!F7&gt;180,'Исходные данные'!F7&lt;315)),1,IF((AND('Исходные данные'!F7&gt;315,'Исходные данные'!F7&lt;485)),2,IF(('Исходные данные'!F7&lt;=180),1,0)))))))))))))))),IF(('Исходные данные'!T7=0),IF(((AND('Исходные данные'!F7&gt;=165,'Исходные данные'!F7&lt;301))),1,IF(((AND('Исходные данные'!F7&gt;=301,'Исходные данные'!F7&lt;441))),2,IF(((AND('Исходные данные'!F7&gt;=441,'Исходные данные'!F7&lt;581))),3,IF(((AND('Исходные данные'!F7&gt;=581,'Исходные данные'!F7&lt;721))),4,IF(((AND('Исходные данные'!F7&gt;=721,'Исходные данные'!F7&lt;861))),5,IF(((AND('Исходные данные'!F7&gt;=861,'Исходные данные'!F7&lt;1000))),6,IF(((AND('Исходные данные'!F7&gt;=1000,'Исходные данные'!F7&lt;1141))),7,IF(((AND('Исходные данные'!F7&gt;=1141,'Исходные данные'!F7&lt;1281))),8,IF(((AND('Исходные данные'!F7&gt;=1281,'Исходные данные'!F7&lt;1421))),9,IF(((AND('Исходные данные'!F7&gt;=1421,'Исходные данные'!F7&lt;1561))),10,IF(((AND('Исходные данные'!F7&gt;=1561,'Исходные данные'!F7&lt;1701))),11,IF(((AND('Исходные данные'!F7&gt;=1701,'Исходные данные'!F7&lt;1841))),12,IF(((AND('Исходные данные'!F7&gt;=1841,'Исходные данные'!F7&lt;1981))),13,IF(((AND('Исходные данные'!F7&gt;=1981,'Исходные данные'!F7&lt;2121))),14,IF(((AND('Исходные данные'!F7&gt;=2121,'Исходные данные'!F7&lt;2261))),15,IF(((AND('Исходные данные'!F7&gt;=2261,'Исходные данные'!F7&lt;2400))),16,IF(((AND('Исходные данные'!F7&gt;=2400,'Исходные данные'!F7&lt;2410))),17,"---"))))))))))))))))),"----"))))</f>
        <v>----</v>
      </c>
      <c r="AS9" s="363">
        <f t="shared" ref="AS9:AS28" si="5">IF(F9="Регуляр",AR9,0)</f>
        <v>0</v>
      </c>
      <c r="AT9" s="363">
        <f>AS9*'Исходные данные'!H7</f>
        <v>0</v>
      </c>
      <c r="AU9" s="363">
        <f>IF('Исходные данные'!I7&lt;=140,0.013,IF('Исходные данные'!I7&lt;=290,0.021,IF('Исходные данные'!I7&gt;=300,0.042,0)))</f>
        <v>1.2999999999999999E-2</v>
      </c>
      <c r="AV9" s="363">
        <f t="shared" ref="AV9:AV28" si="6">IF(AT9=0,0,AU9)</f>
        <v>0</v>
      </c>
      <c r="AW9" s="365">
        <f t="shared" ref="AW9:AW28" si="7">IF(AA9="оц",AV9*AT9,(AV9*1.2)*AT9)</f>
        <v>0</v>
      </c>
      <c r="AX9" s="363"/>
      <c r="AY9" s="465">
        <f>IF(X9="комплект кожухов",'Исходные данные'!H7,0)</f>
        <v>0</v>
      </c>
      <c r="AZ9" s="465"/>
      <c r="BA9" s="359">
        <f t="shared" ref="BA9:BA28" si="8">IF(AA9="оц",0.084*AY9,(0.084*1.2)*AY9)</f>
        <v>0</v>
      </c>
      <c r="BB9">
        <f>'Исходные данные'!M7</f>
        <v>0</v>
      </c>
      <c r="BC9">
        <f>IF(BB9=1,IF('Исходные данные'!F7&lt;=1000,0.017*2,IF('Исходные данные'!F7&lt;=2000,0.022*2,IF('Исходные данные'!F7&gt;2000,0.028*2,0))),IF(BB9=2,IF('Исходные данные'!F7&lt;=1000,0.017*2,IF('Исходные данные'!F7&lt;=2000,0.022*2,IF('Исходные данные'!F7&gt;2000,0.028*2,0))),IF(BB9=3,IF('Исходные данные'!F7&lt;=1000,0.017*2,IF('Исходные данные'!F7&lt;=2000,0.022*2,IF('Исходные данные'!F7&gt;2000,0.028*2,0))),0)))</f>
        <v>0</v>
      </c>
      <c r="BD9" s="356">
        <f>BC9*'Исходные данные'!H7</f>
        <v>0</v>
      </c>
      <c r="BE9" s="18">
        <f>'Труматик гермики'!P8</f>
        <v>0</v>
      </c>
      <c r="BF9" s="18">
        <f t="shared" ref="BF9:BF28" si="9">AS9</f>
        <v>0</v>
      </c>
      <c r="BG9">
        <f t="shared" ref="BG9:BG28" si="10">IF(BE9&gt;0,BE9*0.022,IF(BF9&gt;0,BF9*0.022,0))</f>
        <v>0</v>
      </c>
      <c r="BH9" s="356">
        <f>BG9*'Исходные данные'!H7</f>
        <v>0</v>
      </c>
      <c r="BI9">
        <f>IF(F9="Регуляр",IF(BB9=1,0.022*'Труматик гермики'!AB8,0),0)</f>
        <v>0</v>
      </c>
      <c r="BJ9" s="356">
        <f>BI9*'Исходные данные'!H7</f>
        <v>0</v>
      </c>
      <c r="BK9">
        <f t="shared" ref="BK9:BK28" si="11">IF(AD9="ВГ 111.00.00.003",1,IF(AD9="ВГ 050.00.00.005",2,0))</f>
        <v>0</v>
      </c>
      <c r="BL9">
        <f t="shared" ref="BL9:BL28" si="12">IF(BK9=1,IF(AH9="оц",3,4),IF(BK9=2,IF(AH9="оц",5,6),0))</f>
        <v>0</v>
      </c>
      <c r="BM9">
        <f>IF(BL9=3,0.006*2*'Исходные данные'!H7,IF(BL9=4,0.006*1.2*2*'Исходные данные'!H7,IF(BL9=5,IF('Исходные данные'!G7&lt;=290,0.006*2*'Исходные данные'!H7,0.012*2*'Исходные данные'!H7),IF(BL9=6,IF('Исходные данные'!G7&lt;=290,0.006*1.2*2*'Исходные данные'!H7,0.012*1.2*2*'Исходные данные'!H7),0))))</f>
        <v>0</v>
      </c>
      <c r="BN9">
        <f t="shared" ref="BN9:BN28" si="13">IF(BK9=1,IF(AF9="ОЦ",0.012*2,IF(AF9="нерж",0.012*1.2*2,0)),IF(BK9=2,IF(AF9="ОЦ",0.012*2,IF(AF9="нерж",0.012*1.2*2,0)),0))</f>
        <v>0</v>
      </c>
      <c r="BO9" s="359">
        <f t="shared" ref="BO9:BO28" si="14">BM9</f>
        <v>0</v>
      </c>
      <c r="BP9">
        <f t="shared" ref="BP9:BP28" si="15">AI9</f>
        <v>0</v>
      </c>
      <c r="BQ9">
        <f>IF(AH9="ОЦ",IF('Исходные данные'!F7&lt;=2000,0.012,IF('Исходные данные'!F7&gt;2000,0.018,0)),IF(AH9="нерж",IF('Исходные данные'!F7&lt;=2000,0.012*1.2,IF('Исходные данные'!F7&gt;2000,0.018*1.2,0)),0))</f>
        <v>0</v>
      </c>
      <c r="BR9" s="356">
        <f t="shared" ref="BR9:BR28" si="16">BQ9*BP9</f>
        <v>0</v>
      </c>
    </row>
    <row r="10" spans="1:70" ht="45" customHeight="1" thickBot="1">
      <c r="A10" s="482"/>
      <c r="B10" s="482"/>
      <c r="C10" s="510"/>
      <c r="D10" s="142" t="s">
        <v>249</v>
      </c>
      <c r="E10" s="178">
        <f>'Исходные данные'!B8</f>
        <v>0</v>
      </c>
      <c r="F10" s="157">
        <f>'Исходные данные'!C8</f>
        <v>0</v>
      </c>
      <c r="G10" s="157">
        <f>'Исходные данные'!D8</f>
        <v>0</v>
      </c>
      <c r="H10" s="157">
        <f>'Исходные данные'!F8</f>
        <v>0</v>
      </c>
      <c r="I10" s="157" t="str">
        <f>'Труматик гермики'!E9</f>
        <v>--</v>
      </c>
      <c r="J10" s="157">
        <f>'Исходные данные'!K8</f>
        <v>0</v>
      </c>
      <c r="K10" s="157">
        <f>'Исходные данные'!G8</f>
        <v>0</v>
      </c>
      <c r="L10" s="157" t="str">
        <f>'Труматик гермики'!E9</f>
        <v>--</v>
      </c>
      <c r="M10" s="157">
        <f>'Исходные данные'!K8</f>
        <v>0</v>
      </c>
      <c r="N10" s="157">
        <f>'Исходные данные'!H8</f>
        <v>0</v>
      </c>
      <c r="O10" s="159">
        <f>'Исходные данные'!F8</f>
        <v>0</v>
      </c>
      <c r="P10" s="159">
        <f>IF('Исходные данные'!H8&gt;0,'Исходные данные'!H8*2,0)</f>
        <v>0</v>
      </c>
      <c r="Q10" s="159">
        <f>'Исходные данные'!G8</f>
        <v>0</v>
      </c>
      <c r="R10" s="159">
        <f>IF('Исходные данные'!H8&gt;0,'Исходные данные'!H8*2,0)</f>
        <v>0</v>
      </c>
      <c r="S10" s="159">
        <f>'Исходные данные'!K8</f>
        <v>0</v>
      </c>
      <c r="T10" s="159" t="str">
        <f>'Задание на Trumpf'!S9</f>
        <v>---</v>
      </c>
      <c r="U10" s="159">
        <f>'Труматик гермики'!Q9</f>
        <v>0</v>
      </c>
      <c r="V10" s="159">
        <f>IF(U10="-----",0,'Задание на гибку'!U10*'Исходные данные'!H8)</f>
        <v>0</v>
      </c>
      <c r="W10" s="159" t="str">
        <f>IF('Исходные данные'!L8=1,"ОЦ",IF('Исходные данные'!L8=2,"нерж",IF('Исходные данные'!L8=3,"ОЦ",IF('Исходные данные'!L8=4,"ОЦ","---"))))</f>
        <v>---</v>
      </c>
      <c r="X10" s="507" t="str">
        <f>IF('Исходные данные'!M8=1,"Комплект кожухов","___")</f>
        <v>___</v>
      </c>
      <c r="Y10" s="507"/>
      <c r="Z10" s="213">
        <f>'Исходные данные'!K8</f>
        <v>0</v>
      </c>
      <c r="AA10" s="159" t="str">
        <f t="shared" si="0"/>
        <v>---</v>
      </c>
      <c r="AB10" s="213">
        <f>IF('Исходные данные'!M8=1,'Задание Ножницы лента'!I11,IF('Исходные данные'!M8=2,'Задание Ножницы лента'!I11,IF('Исходные данные'!M8=3,'Задание Ножницы лента'!I11,IF('Исходные данные'!M8=4,"---",))))</f>
        <v>0</v>
      </c>
      <c r="AC10" s="213" t="str">
        <f>'Задание Ножницы лента'!M11</f>
        <v>---</v>
      </c>
      <c r="AD10" s="159" t="str">
        <f>IF('Исходные данные'!M8=1,"ВГ 111.00.00.003",IF('Исходные данные'!M8=3,"ВГ 111.00.00.003",IF('Исходные данные'!M8=2,"ВГ 050.00.00.005",IF('Исходные данные'!M8=4,"ВГ 050.00.00.005","---"))))</f>
        <v>---</v>
      </c>
      <c r="AE10" s="159" t="str">
        <f>'Задание на Trumpf'!Y9</f>
        <v>---</v>
      </c>
      <c r="AF10" s="159" t="str">
        <f t="shared" si="1"/>
        <v>---</v>
      </c>
      <c r="AG10" s="368">
        <f>IF(AE10&gt;0,'Исходные данные'!H8*2,0)</f>
        <v>0</v>
      </c>
      <c r="AH10" s="369" t="str">
        <f t="shared" si="2"/>
        <v>---</v>
      </c>
      <c r="AI10" s="366">
        <f>'Исходные данные'!H8</f>
        <v>0</v>
      </c>
      <c r="AJ10" s="370"/>
      <c r="AK10" s="509" t="s">
        <v>280</v>
      </c>
      <c r="AL10" s="506"/>
      <c r="AM10" s="119"/>
      <c r="AN10" s="364"/>
      <c r="AO10" s="356">
        <f t="shared" si="3"/>
        <v>0</v>
      </c>
      <c r="AP10" s="18"/>
      <c r="AQ10" s="356">
        <f t="shared" si="4"/>
        <v>0</v>
      </c>
      <c r="AR10" s="18" t="str">
        <f>IF('Исходные данные'!M8=2,IF((AND('Исходные данные'!F8&gt;485,'Исходные данные'!F8&lt;635)),3,IF((AND('Исходные данные'!F8&gt;635,'Исходные данные'!F8&lt;785)),4,IF((AND('Исходные данные'!F8&gt;785,'Исходные данные'!F8&lt;935)),5,IF((AND('Исходные данные'!F8&gt;935,'Исходные данные'!F8&lt;1085)),6,IF((AND('Исходные данные'!F8&gt;1085,'Исходные данные'!F8&lt;1235)),7,IF((AND('Исходные данные'!F8&gt;1235,'Исходные данные'!F8&lt;1385)),8,IF((AND('Исходные данные'!F8&gt;1385,'Исходные данные'!F8&lt;1535)),9,IF((AND('Исходные данные'!F8&gt;1535,'Исходные данные'!F8&lt;1685)),10,IF((AND('Исходные данные'!F8&gt;1685,'Исходные данные'!F8&lt;1835)),11,IF((AND('Исходные данные'!F8&gt;1835,'Исходные данные'!F8&lt;1985)),12,IF((AND('Исходные данные'!F8&gt;1985,'Исходные данные'!F8&lt;2135)),13,IF((AND('Исходные данные'!F8&gt;2135,'Исходные данные'!F8&lt;2285)),14,IF((AND('Исходные данные'!F8&gt;2285,'Исходные данные'!F8&lt;2435)),15,IF((AND('Исходные данные'!F8&gt;180,'Исходные данные'!F8&lt;315)),1,IF((AND('Исходные данные'!F8&gt;315,'Исходные данные'!F8&lt;485)),2,IF(('Исходные данные'!F8&lt;=180),1,0)))))))))))))))),IF(('Исходные данные'!T8=0),IF(((AND('Исходные данные'!F8&gt;=165,'Исходные данные'!F8&lt;301))),1,IF(((AND('Исходные данные'!F8&gt;=301,'Исходные данные'!F8&lt;441))),2,IF(((AND('Исходные данные'!F8&gt;=441,'Исходные данные'!F8&lt;581))),3,IF(((AND('Исходные данные'!F8&gt;=581,'Исходные данные'!F8&lt;721))),4,IF(((AND('Исходные данные'!F8&gt;=721,'Исходные данные'!F8&lt;861))),5,IF(((AND('Исходные данные'!F8&gt;=861,'Исходные данные'!F8&lt;1000))),6,IF(((AND('Исходные данные'!F8&gt;=1000,'Исходные данные'!F8&lt;1141))),7,IF(((AND('Исходные данные'!F8&gt;=1141,'Исходные данные'!F8&lt;1281))),8,IF(((AND('Исходные данные'!F8&gt;=1281,'Исходные данные'!F8&lt;1421))),9,IF(((AND('Исходные данные'!F8&gt;=1421,'Исходные данные'!F8&lt;1561))),10,IF(((AND('Исходные данные'!F8&gt;=1561,'Исходные данные'!F8&lt;1701))),11,IF(((AND('Исходные данные'!F8&gt;=1701,'Исходные данные'!F8&lt;1841))),12,IF(((AND('Исходные данные'!F8&gt;=1841,'Исходные данные'!F8&lt;1981))),13,IF(((AND('Исходные данные'!F8&gt;=1981,'Исходные данные'!F8&lt;2121))),14,IF(((AND('Исходные данные'!F8&gt;=2121,'Исходные данные'!F8&lt;2261))),15,IF(((AND('Исходные данные'!F8&gt;=2261,'Исходные данные'!F8&lt;2400))),16,IF(((AND('Исходные данные'!F8&gt;=2400,'Исходные данные'!F8&lt;2410))),17,"---"))))))))))))))))),IF('Исходные данные'!M8=4,IF((AND('Исходные данные'!F8&gt;485,'Исходные данные'!F8&lt;635)),3,IF((AND('Исходные данные'!F8&gt;635,'Исходные данные'!F8&lt;785)),4,IF((AND('Исходные данные'!F8&gt;785,'Исходные данные'!F8&lt;935)),5,IF((AND('Исходные данные'!F8&gt;935,'Исходные данные'!F8&lt;1085)),6,IF((AND('Исходные данные'!F8&gt;1085,'Исходные данные'!F8&lt;1235)),7,IF((AND('Исходные данные'!F8&gt;1235,'Исходные данные'!F8&lt;1385)),8,IF((AND('Исходные данные'!F8&gt;1385,'Исходные данные'!F8&lt;1535)),9,IF((AND('Исходные данные'!F8&gt;1535,'Исходные данные'!F8&lt;1685)),10,IF((AND('Исходные данные'!F8&gt;1685,'Исходные данные'!F8&lt;1835)),11,IF((AND('Исходные данные'!F8&gt;1835,'Исходные данные'!F8&lt;1985)),12,IF((AND('Исходные данные'!F8&gt;1985,'Исходные данные'!F8&lt;2135)),13,IF((AND('Исходные данные'!F8&gt;2135,'Исходные данные'!F8&lt;2285)),14,IF((AND('Исходные данные'!F8&gt;2285,'Исходные данные'!F8&lt;2435)),15,IF((AND('Исходные данные'!F8&gt;180,'Исходные данные'!F8&lt;315)),1,IF((AND('Исходные данные'!F8&gt;315,'Исходные данные'!F8&lt;485)),2,IF(('Исходные данные'!F8&lt;=180),1,0)))))))))))))))),IF(('Исходные данные'!T8=0),IF(((AND('Исходные данные'!F8&gt;=165,'Исходные данные'!F8&lt;301))),1,IF(((AND('Исходные данные'!F8&gt;=301,'Исходные данные'!F8&lt;441))),2,IF(((AND('Исходные данные'!F8&gt;=441,'Исходные данные'!F8&lt;581))),3,IF(((AND('Исходные данные'!F8&gt;=581,'Исходные данные'!F8&lt;721))),4,IF(((AND('Исходные данные'!F8&gt;=721,'Исходные данные'!F8&lt;861))),5,IF(((AND('Исходные данные'!F8&gt;=861,'Исходные данные'!F8&lt;1000))),6,IF(((AND('Исходные данные'!F8&gt;=1000,'Исходные данные'!F8&lt;1141))),7,IF(((AND('Исходные данные'!F8&gt;=1141,'Исходные данные'!F8&lt;1281))),8,IF(((AND('Исходные данные'!F8&gt;=1281,'Исходные данные'!F8&lt;1421))),9,IF(((AND('Исходные данные'!F8&gt;=1421,'Исходные данные'!F8&lt;1561))),10,IF(((AND('Исходные данные'!F8&gt;=1561,'Исходные данные'!F8&lt;1701))),11,IF(((AND('Исходные данные'!F8&gt;=1701,'Исходные данные'!F8&lt;1841))),12,IF(((AND('Исходные данные'!F8&gt;=1841,'Исходные данные'!F8&lt;1981))),13,IF(((AND('Исходные данные'!F8&gt;=1981,'Исходные данные'!F8&lt;2121))),14,IF(((AND('Исходные данные'!F8&gt;=2121,'Исходные данные'!F8&lt;2261))),15,IF(((AND('Исходные данные'!F8&gt;=2261,'Исходные данные'!F8&lt;2400))),16,IF(((AND('Исходные данные'!F8&gt;=2400,'Исходные данные'!F8&lt;2410))),17,"---"))))))))))))))))),"----"))))</f>
        <v>----</v>
      </c>
      <c r="AS10" s="363">
        <f t="shared" si="5"/>
        <v>0</v>
      </c>
      <c r="AT10" s="363">
        <f>AS10*'Исходные данные'!H8</f>
        <v>0</v>
      </c>
      <c r="AU10" s="363">
        <f>IF('Исходные данные'!I8&lt;=140,0.013,IF('Исходные данные'!I8&lt;=290,0.021,IF('Исходные данные'!I8&gt;=300,0.042,0)))</f>
        <v>1.2999999999999999E-2</v>
      </c>
      <c r="AV10" s="363">
        <f t="shared" si="6"/>
        <v>0</v>
      </c>
      <c r="AW10" s="365">
        <f t="shared" si="7"/>
        <v>0</v>
      </c>
      <c r="AX10" s="363"/>
      <c r="AY10" s="465">
        <f>IF(X10="комплект кожухов",'Исходные данные'!H8,0)</f>
        <v>0</v>
      </c>
      <c r="AZ10" s="465"/>
      <c r="BA10" s="359">
        <f t="shared" si="8"/>
        <v>0</v>
      </c>
      <c r="BB10">
        <f>'Исходные данные'!M8</f>
        <v>0</v>
      </c>
      <c r="BC10">
        <f>IF(BB10=1,IF('Исходные данные'!F8&lt;=1000,0.017*2,IF('Исходные данные'!F8&lt;=2000,0.022*2,IF('Исходные данные'!F8&gt;2000,0.028*2,0))),IF(BB10=2,IF('Исходные данные'!F8&lt;=1000,0.017*2,IF('Исходные данные'!F8&lt;=2000,0.022*2,IF('Исходные данные'!F8&gt;2000,0.028*2,0))),IF(BB10=3,IF('Исходные данные'!F8&lt;=1000,0.017*2,IF('Исходные данные'!F8&lt;=2000,0.022*2,IF('Исходные данные'!F8&gt;2000,0.028*2,0))),0)))</f>
        <v>0</v>
      </c>
      <c r="BD10" s="356">
        <f>BC10*'Исходные данные'!H8</f>
        <v>0</v>
      </c>
      <c r="BE10" s="18">
        <f>'Труматик гермики'!P9</f>
        <v>0</v>
      </c>
      <c r="BF10" s="18">
        <f t="shared" si="9"/>
        <v>0</v>
      </c>
      <c r="BG10">
        <f t="shared" si="10"/>
        <v>0</v>
      </c>
      <c r="BH10" s="356">
        <f>BG10*'Исходные данные'!H8</f>
        <v>0</v>
      </c>
      <c r="BI10">
        <f>IF(F10="Регуляр",IF(BB10=1,0.022*'Труматик гермики'!AB9,0),0)</f>
        <v>0</v>
      </c>
      <c r="BJ10" s="356">
        <f>BI10*'Исходные данные'!H8</f>
        <v>0</v>
      </c>
      <c r="BK10">
        <f t="shared" si="11"/>
        <v>0</v>
      </c>
      <c r="BL10">
        <f t="shared" si="12"/>
        <v>0</v>
      </c>
      <c r="BM10">
        <f>IF(BL10=3,0.006*2*'Исходные данные'!H8,IF(BL10=4,0.006*1.2*2*'Исходные данные'!H8,IF(BL10=5,IF('Исходные данные'!G8&lt;=290,0.006*2*'Исходные данные'!H8,0.012*2*'Исходные данные'!H8),IF(BL10=6,IF('Исходные данные'!G8&lt;=290,0.006*1.2*2*'Исходные данные'!H8,0.012*1.2*2*'Исходные данные'!H8),0))))</f>
        <v>0</v>
      </c>
      <c r="BN10">
        <f t="shared" si="13"/>
        <v>0</v>
      </c>
      <c r="BO10" s="359">
        <f t="shared" si="14"/>
        <v>0</v>
      </c>
      <c r="BP10">
        <f t="shared" si="15"/>
        <v>0</v>
      </c>
      <c r="BQ10">
        <f>IF(AH10="ОЦ",IF('Исходные данные'!F8&lt;=2000,0.012,IF('Исходные данные'!F8&gt;2000,0.018,0)),IF(AH10="нерж",IF('Исходные данные'!F8&lt;=2000,0.012*1.2,IF('Исходные данные'!F8&gt;2000,0.018*1.2,0)),0))</f>
        <v>0</v>
      </c>
      <c r="BR10" s="356">
        <f t="shared" si="16"/>
        <v>0</v>
      </c>
    </row>
    <row r="11" spans="1:70" ht="41.25" customHeight="1" thickBot="1">
      <c r="A11" s="482"/>
      <c r="B11" s="482"/>
      <c r="C11" s="510"/>
      <c r="D11" s="142" t="s">
        <v>250</v>
      </c>
      <c r="E11" s="178">
        <f>'Исходные данные'!B9</f>
        <v>0</v>
      </c>
      <c r="F11" s="157">
        <f>'Исходные данные'!C9</f>
        <v>0</v>
      </c>
      <c r="G11" s="157">
        <f>'Исходные данные'!D9</f>
        <v>0</v>
      </c>
      <c r="H11" s="157">
        <f>'Исходные данные'!F9</f>
        <v>0</v>
      </c>
      <c r="I11" s="157" t="str">
        <f>'Труматик гермики'!E10</f>
        <v>--</v>
      </c>
      <c r="J11" s="157">
        <f>'Исходные данные'!K9</f>
        <v>0</v>
      </c>
      <c r="K11" s="157">
        <f>'Исходные данные'!G9</f>
        <v>0</v>
      </c>
      <c r="L11" s="157" t="str">
        <f>'Труматик гермики'!E10</f>
        <v>--</v>
      </c>
      <c r="M11" s="157">
        <f>'Исходные данные'!K9</f>
        <v>0</v>
      </c>
      <c r="N11" s="157">
        <f>'Исходные данные'!H9</f>
        <v>0</v>
      </c>
      <c r="O11" s="159">
        <f>'Исходные данные'!F9</f>
        <v>0</v>
      </c>
      <c r="P11" s="159">
        <f>IF('Исходные данные'!H9&gt;0,'Исходные данные'!H9*2,0)</f>
        <v>0</v>
      </c>
      <c r="Q11" s="159">
        <f>'Исходные данные'!G9</f>
        <v>0</v>
      </c>
      <c r="R11" s="159">
        <f>IF('Исходные данные'!H9&gt;0,'Исходные данные'!H9*2,0)</f>
        <v>0</v>
      </c>
      <c r="S11" s="159">
        <f>'Исходные данные'!K9</f>
        <v>0</v>
      </c>
      <c r="T11" s="159" t="str">
        <f>'Задание на Trumpf'!S10</f>
        <v>---</v>
      </c>
      <c r="U11" s="159">
        <f>'Труматик гермики'!Q10</f>
        <v>0</v>
      </c>
      <c r="V11" s="159">
        <f>IF(U11="-----",0,'Задание на гибку'!U11*'Исходные данные'!H9)</f>
        <v>0</v>
      </c>
      <c r="W11" s="159" t="str">
        <f>IF('Исходные данные'!L9=1,"ОЦ",IF('Исходные данные'!L9=2,"нерж",IF('Исходные данные'!L9=3,"ОЦ",IF('Исходные данные'!L9=4,"ОЦ","---"))))</f>
        <v>---</v>
      </c>
      <c r="X11" s="507" t="str">
        <f>IF('Исходные данные'!M9=1,"Комплект кожухов","___")</f>
        <v>___</v>
      </c>
      <c r="Y11" s="507"/>
      <c r="Z11" s="213">
        <f>'Исходные данные'!K9</f>
        <v>0</v>
      </c>
      <c r="AA11" s="159" t="str">
        <f t="shared" si="0"/>
        <v>---</v>
      </c>
      <c r="AB11" s="213">
        <f>IF('Исходные данные'!M9=1,'Задание Ножницы лента'!I12,IF('Исходные данные'!M9=2,'Задание Ножницы лента'!I12,IF('Исходные данные'!M9=3,'Задание Ножницы лента'!I12,IF('Исходные данные'!M9=4,"---",))))</f>
        <v>0</v>
      </c>
      <c r="AC11" s="213" t="str">
        <f>'Задание Ножницы лента'!M12</f>
        <v>---</v>
      </c>
      <c r="AD11" s="159" t="str">
        <f>IF('Исходные данные'!M9=1,"ВГ 111.00.00.003",IF('Исходные данные'!M9=3,"ВГ 111.00.00.003",IF('Исходные данные'!M9=2,"ВГ 050.00.00.005",IF('Исходные данные'!M9=4,"ВГ 050.00.00.005","---"))))</f>
        <v>---</v>
      </c>
      <c r="AE11" s="159" t="str">
        <f>'Задание на Trumpf'!Y10</f>
        <v>---</v>
      </c>
      <c r="AF11" s="159" t="str">
        <f t="shared" si="1"/>
        <v>---</v>
      </c>
      <c r="AG11" s="368">
        <f>IF(AE11&gt;0,'Исходные данные'!H9*2,0)</f>
        <v>0</v>
      </c>
      <c r="AH11" s="369" t="str">
        <f t="shared" si="2"/>
        <v>---</v>
      </c>
      <c r="AI11" s="366">
        <f>'Исходные данные'!H9</f>
        <v>0</v>
      </c>
      <c r="AJ11" s="370"/>
      <c r="AK11" s="509"/>
      <c r="AL11" s="506"/>
      <c r="AM11" s="506"/>
      <c r="AN11" s="364"/>
      <c r="AO11" s="356">
        <f t="shared" si="3"/>
        <v>0</v>
      </c>
      <c r="AP11" s="18"/>
      <c r="AQ11" s="356">
        <f t="shared" si="4"/>
        <v>0</v>
      </c>
      <c r="AR11" s="18" t="str">
        <f>IF('Исходные данные'!M9=2,IF((AND('Исходные данные'!F9&gt;485,'Исходные данные'!F9&lt;635)),3,IF((AND('Исходные данные'!F9&gt;635,'Исходные данные'!F9&lt;785)),4,IF((AND('Исходные данные'!F9&gt;785,'Исходные данные'!F9&lt;935)),5,IF((AND('Исходные данные'!F9&gt;935,'Исходные данные'!F9&lt;1085)),6,IF((AND('Исходные данные'!F9&gt;1085,'Исходные данные'!F9&lt;1235)),7,IF((AND('Исходные данные'!F9&gt;1235,'Исходные данные'!F9&lt;1385)),8,IF((AND('Исходные данные'!F9&gt;1385,'Исходные данные'!F9&lt;1535)),9,IF((AND('Исходные данные'!F9&gt;1535,'Исходные данные'!F9&lt;1685)),10,IF((AND('Исходные данные'!F9&gt;1685,'Исходные данные'!F9&lt;1835)),11,IF((AND('Исходные данные'!F9&gt;1835,'Исходные данные'!F9&lt;1985)),12,IF((AND('Исходные данные'!F9&gt;1985,'Исходные данные'!F9&lt;2135)),13,IF((AND('Исходные данные'!F9&gt;2135,'Исходные данные'!F9&lt;2285)),14,IF((AND('Исходные данные'!F9&gt;2285,'Исходные данные'!F9&lt;2435)),15,IF((AND('Исходные данные'!F9&gt;180,'Исходные данные'!F9&lt;315)),1,IF((AND('Исходные данные'!F9&gt;315,'Исходные данные'!F9&lt;485)),2,IF(('Исходные данные'!F9&lt;=180),1,0)))))))))))))))),IF(('Исходные данные'!T9=0),IF(((AND('Исходные данные'!F9&gt;=165,'Исходные данные'!F9&lt;301))),1,IF(((AND('Исходные данные'!F9&gt;=301,'Исходные данные'!F9&lt;441))),2,IF(((AND('Исходные данные'!F9&gt;=441,'Исходные данные'!F9&lt;581))),3,IF(((AND('Исходные данные'!F9&gt;=581,'Исходные данные'!F9&lt;721))),4,IF(((AND('Исходные данные'!F9&gt;=721,'Исходные данные'!F9&lt;861))),5,IF(((AND('Исходные данные'!F9&gt;=861,'Исходные данные'!F9&lt;1000))),6,IF(((AND('Исходные данные'!F9&gt;=1000,'Исходные данные'!F9&lt;1141))),7,IF(((AND('Исходные данные'!F9&gt;=1141,'Исходные данные'!F9&lt;1281))),8,IF(((AND('Исходные данные'!F9&gt;=1281,'Исходные данные'!F9&lt;1421))),9,IF(((AND('Исходные данные'!F9&gt;=1421,'Исходные данные'!F9&lt;1561))),10,IF(((AND('Исходные данные'!F9&gt;=1561,'Исходные данные'!F9&lt;1701))),11,IF(((AND('Исходные данные'!F9&gt;=1701,'Исходные данные'!F9&lt;1841))),12,IF(((AND('Исходные данные'!F9&gt;=1841,'Исходные данные'!F9&lt;1981))),13,IF(((AND('Исходные данные'!F9&gt;=1981,'Исходные данные'!F9&lt;2121))),14,IF(((AND('Исходные данные'!F9&gt;=2121,'Исходные данные'!F9&lt;2261))),15,IF(((AND('Исходные данные'!F9&gt;=2261,'Исходные данные'!F9&lt;2400))),16,IF(((AND('Исходные данные'!F9&gt;=2400,'Исходные данные'!F9&lt;2410))),17,"---"))))))))))))))))),IF('Исходные данные'!M9=4,IF((AND('Исходные данные'!F9&gt;485,'Исходные данные'!F9&lt;635)),3,IF((AND('Исходные данные'!F9&gt;635,'Исходные данные'!F9&lt;785)),4,IF((AND('Исходные данные'!F9&gt;785,'Исходные данные'!F9&lt;935)),5,IF((AND('Исходные данные'!F9&gt;935,'Исходные данные'!F9&lt;1085)),6,IF((AND('Исходные данные'!F9&gt;1085,'Исходные данные'!F9&lt;1235)),7,IF((AND('Исходные данные'!F9&gt;1235,'Исходные данные'!F9&lt;1385)),8,IF((AND('Исходные данные'!F9&gt;1385,'Исходные данные'!F9&lt;1535)),9,IF((AND('Исходные данные'!F9&gt;1535,'Исходные данные'!F9&lt;1685)),10,IF((AND('Исходные данные'!F9&gt;1685,'Исходные данные'!F9&lt;1835)),11,IF((AND('Исходные данные'!F9&gt;1835,'Исходные данные'!F9&lt;1985)),12,IF((AND('Исходные данные'!F9&gt;1985,'Исходные данные'!F9&lt;2135)),13,IF((AND('Исходные данные'!F9&gt;2135,'Исходные данные'!F9&lt;2285)),14,IF((AND('Исходные данные'!F9&gt;2285,'Исходные данные'!F9&lt;2435)),15,IF((AND('Исходные данные'!F9&gt;180,'Исходные данные'!F9&lt;315)),1,IF((AND('Исходные данные'!F9&gt;315,'Исходные данные'!F9&lt;485)),2,IF(('Исходные данные'!F9&lt;=180),1,0)))))))))))))))),IF(('Исходные данные'!T9=0),IF(((AND('Исходные данные'!F9&gt;=165,'Исходные данные'!F9&lt;301))),1,IF(((AND('Исходные данные'!F9&gt;=301,'Исходные данные'!F9&lt;441))),2,IF(((AND('Исходные данные'!F9&gt;=441,'Исходные данные'!F9&lt;581))),3,IF(((AND('Исходные данные'!F9&gt;=581,'Исходные данные'!F9&lt;721))),4,IF(((AND('Исходные данные'!F9&gt;=721,'Исходные данные'!F9&lt;861))),5,IF(((AND('Исходные данные'!F9&gt;=861,'Исходные данные'!F9&lt;1000))),6,IF(((AND('Исходные данные'!F9&gt;=1000,'Исходные данные'!F9&lt;1141))),7,IF(((AND('Исходные данные'!F9&gt;=1141,'Исходные данные'!F9&lt;1281))),8,IF(((AND('Исходные данные'!F9&gt;=1281,'Исходные данные'!F9&lt;1421))),9,IF(((AND('Исходные данные'!F9&gt;=1421,'Исходные данные'!F9&lt;1561))),10,IF(((AND('Исходные данные'!F9&gt;=1561,'Исходные данные'!F9&lt;1701))),11,IF(((AND('Исходные данные'!F9&gt;=1701,'Исходные данные'!F9&lt;1841))),12,IF(((AND('Исходные данные'!F9&gt;=1841,'Исходные данные'!F9&lt;1981))),13,IF(((AND('Исходные данные'!F9&gt;=1981,'Исходные данные'!F9&lt;2121))),14,IF(((AND('Исходные данные'!F9&gt;=2121,'Исходные данные'!F9&lt;2261))),15,IF(((AND('Исходные данные'!F9&gt;=2261,'Исходные данные'!F9&lt;2400))),16,IF(((AND('Исходные данные'!F9&gt;=2400,'Исходные данные'!F9&lt;2410))),17,"---"))))))))))))))))),"----"))))</f>
        <v>----</v>
      </c>
      <c r="AS11" s="363">
        <f t="shared" si="5"/>
        <v>0</v>
      </c>
      <c r="AT11" s="363">
        <f>AS11*'Исходные данные'!H9</f>
        <v>0</v>
      </c>
      <c r="AU11" s="363">
        <f>IF('Исходные данные'!I9&lt;=140,0.013,IF('Исходные данные'!I9&lt;=290,0.021,IF('Исходные данные'!I9&gt;=300,0.042,0)))</f>
        <v>1.2999999999999999E-2</v>
      </c>
      <c r="AV11" s="363">
        <f t="shared" si="6"/>
        <v>0</v>
      </c>
      <c r="AW11" s="365">
        <f t="shared" si="7"/>
        <v>0</v>
      </c>
      <c r="AX11" s="363"/>
      <c r="AY11" s="465">
        <f>IF(X11="комплект кожухов",'Исходные данные'!H9,0)</f>
        <v>0</v>
      </c>
      <c r="AZ11" s="465"/>
      <c r="BA11" s="359">
        <f t="shared" si="8"/>
        <v>0</v>
      </c>
      <c r="BB11">
        <f>'Исходные данные'!M9</f>
        <v>0</v>
      </c>
      <c r="BC11">
        <f>IF(BB11=1,IF('Исходные данные'!F9&lt;=1000,0.017*2,IF('Исходные данные'!F9&lt;=2000,0.022*2,IF('Исходные данные'!F9&gt;2000,0.028*2,0))),IF(BB11=2,IF('Исходные данные'!F9&lt;=1000,0.017*2,IF('Исходные данные'!F9&lt;=2000,0.022*2,IF('Исходные данные'!F9&gt;2000,0.028*2,0))),IF(BB11=3,IF('Исходные данные'!F9&lt;=1000,0.017*2,IF('Исходные данные'!F9&lt;=2000,0.022*2,IF('Исходные данные'!F9&gt;2000,0.028*2,0))),0)))</f>
        <v>0</v>
      </c>
      <c r="BD11" s="356">
        <f>BC11*'Исходные данные'!H9</f>
        <v>0</v>
      </c>
      <c r="BE11" s="18">
        <f>'Труматик гермики'!P10</f>
        <v>0</v>
      </c>
      <c r="BF11" s="18">
        <f t="shared" si="9"/>
        <v>0</v>
      </c>
      <c r="BG11">
        <f t="shared" si="10"/>
        <v>0</v>
      </c>
      <c r="BH11" s="356">
        <f>BG11*'Исходные данные'!H9</f>
        <v>0</v>
      </c>
      <c r="BI11">
        <f>IF(F11="Регуляр",IF(BB11=1,0.022*'Труматик гермики'!AB10,0),0)</f>
        <v>0</v>
      </c>
      <c r="BJ11" s="356">
        <f>BI11*'Исходные данные'!H9</f>
        <v>0</v>
      </c>
      <c r="BK11">
        <f t="shared" si="11"/>
        <v>0</v>
      </c>
      <c r="BL11">
        <f t="shared" si="12"/>
        <v>0</v>
      </c>
      <c r="BM11">
        <f>IF(BL11=3,0.006*2*'Исходные данные'!H9,IF(BL11=4,0.006*1.2*2*'Исходные данные'!H9,IF(BL11=5,IF('Исходные данные'!G9&lt;=290,0.006*2*'Исходные данные'!H9,0.012*2*'Исходные данные'!H9),IF(BL11=6,IF('Исходные данные'!G9&lt;=290,0.006*1.2*2*'Исходные данные'!H9,0.012*1.2*2*'Исходные данные'!H9),0))))</f>
        <v>0</v>
      </c>
      <c r="BN11">
        <f t="shared" si="13"/>
        <v>0</v>
      </c>
      <c r="BO11" s="359">
        <f t="shared" si="14"/>
        <v>0</v>
      </c>
      <c r="BP11">
        <f t="shared" si="15"/>
        <v>0</v>
      </c>
      <c r="BQ11">
        <f>IF(AH11="ОЦ",IF('Исходные данные'!F9&lt;=2000,0.012,IF('Исходные данные'!F9&gt;2000,0.018,0)),IF(AH11="нерж",IF('Исходные данные'!F9&lt;=2000,0.012*1.2,IF('Исходные данные'!F9&gt;2000,0.018*1.2,0)),0))</f>
        <v>0</v>
      </c>
      <c r="BR11" s="356">
        <f t="shared" si="16"/>
        <v>0</v>
      </c>
    </row>
    <row r="12" spans="1:70" ht="40.5" customHeight="1" thickBot="1">
      <c r="A12" s="482"/>
      <c r="B12" s="482"/>
      <c r="C12" s="510"/>
      <c r="D12" s="142" t="s">
        <v>251</v>
      </c>
      <c r="E12" s="178">
        <f>'Исходные данные'!B10</f>
        <v>0</v>
      </c>
      <c r="F12" s="157">
        <f>'Исходные данные'!C10</f>
        <v>0</v>
      </c>
      <c r="G12" s="157">
        <f>'Исходные данные'!D10</f>
        <v>0</v>
      </c>
      <c r="H12" s="157">
        <f>'Исходные данные'!F10</f>
        <v>0</v>
      </c>
      <c r="I12" s="157" t="str">
        <f>'Труматик гермики'!E11</f>
        <v>--</v>
      </c>
      <c r="J12" s="157">
        <f>'Исходные данные'!K10</f>
        <v>0</v>
      </c>
      <c r="K12" s="157">
        <f>'Исходные данные'!G10</f>
        <v>0</v>
      </c>
      <c r="L12" s="157" t="str">
        <f>'Труматик гермики'!E11</f>
        <v>--</v>
      </c>
      <c r="M12" s="157">
        <f>'Исходные данные'!K10</f>
        <v>0</v>
      </c>
      <c r="N12" s="157">
        <f>'Исходные данные'!H10</f>
        <v>0</v>
      </c>
      <c r="O12" s="159">
        <f>'Исходные данные'!F10</f>
        <v>0</v>
      </c>
      <c r="P12" s="159">
        <f>IF('Исходные данные'!H10&gt;0,'Исходные данные'!H10*2,0)</f>
        <v>0</v>
      </c>
      <c r="Q12" s="159">
        <f>'Исходные данные'!G10</f>
        <v>0</v>
      </c>
      <c r="R12" s="159">
        <f>IF('Исходные данные'!H10&gt;0,'Исходные данные'!H10*2,0)</f>
        <v>0</v>
      </c>
      <c r="S12" s="159">
        <f>'Исходные данные'!K10</f>
        <v>0</v>
      </c>
      <c r="T12" s="159" t="str">
        <f>'Задание на Trumpf'!S11</f>
        <v>---</v>
      </c>
      <c r="U12" s="159">
        <f>'Труматик гермики'!Q11</f>
        <v>0</v>
      </c>
      <c r="V12" s="159">
        <f>IF(U12="-----",0,'Задание на гибку'!U12*'Исходные данные'!H10)</f>
        <v>0</v>
      </c>
      <c r="W12" s="159" t="str">
        <f>IF('Исходные данные'!L10=1,"ОЦ",IF('Исходные данные'!L10=2,"нерж",IF('Исходные данные'!L10=3,"ОЦ",IF('Исходные данные'!L10=4,"ОЦ","---"))))</f>
        <v>---</v>
      </c>
      <c r="X12" s="507" t="str">
        <f>IF('Исходные данные'!M10=1,"Комплект кожухов","___")</f>
        <v>___</v>
      </c>
      <c r="Y12" s="507"/>
      <c r="Z12" s="213">
        <f>'Исходные данные'!K10</f>
        <v>0</v>
      </c>
      <c r="AA12" s="159" t="str">
        <f t="shared" si="0"/>
        <v>---</v>
      </c>
      <c r="AB12" s="213">
        <f>IF('Исходные данные'!M10=1,'Задание Ножницы лента'!I13,IF('Исходные данные'!M10=2,'Задание Ножницы лента'!I13,IF('Исходные данные'!M10=3,'Задание Ножницы лента'!I13,IF('Исходные данные'!M10=4,"---",))))</f>
        <v>0</v>
      </c>
      <c r="AC12" s="213" t="str">
        <f>'Задание Ножницы лента'!M13</f>
        <v>---</v>
      </c>
      <c r="AD12" s="159" t="str">
        <f>IF('Исходные данные'!M10=1,"ВГ 111.00.00.003",IF('Исходные данные'!M10=3,"ВГ 111.00.00.003",IF('Исходные данные'!M10=2,"ВГ 050.00.00.005",IF('Исходные данные'!M10=4,"ВГ 050.00.00.005","---"))))</f>
        <v>---</v>
      </c>
      <c r="AE12" s="159" t="str">
        <f>'Задание на Trumpf'!Y11</f>
        <v>---</v>
      </c>
      <c r="AF12" s="159" t="str">
        <f t="shared" si="1"/>
        <v>---</v>
      </c>
      <c r="AG12" s="368">
        <f>IF(AE12&gt;0,'Исходные данные'!H10*2,0)</f>
        <v>0</v>
      </c>
      <c r="AH12" s="369" t="str">
        <f t="shared" si="2"/>
        <v>---</v>
      </c>
      <c r="AI12" s="366">
        <f>'Исходные данные'!H10</f>
        <v>0</v>
      </c>
      <c r="AJ12" s="370"/>
      <c r="AK12" s="509"/>
      <c r="AL12" s="506"/>
      <c r="AM12" s="506"/>
      <c r="AN12" s="364"/>
      <c r="AO12" s="356">
        <f t="shared" si="3"/>
        <v>0</v>
      </c>
      <c r="AP12" s="18"/>
      <c r="AQ12" s="356">
        <f t="shared" si="4"/>
        <v>0</v>
      </c>
      <c r="AR12" s="18" t="str">
        <f>IF('Исходные данные'!M10=2,IF((AND('Исходные данные'!F10&gt;485,'Исходные данные'!F10&lt;635)),3,IF((AND('Исходные данные'!F10&gt;635,'Исходные данные'!F10&lt;785)),4,IF((AND('Исходные данные'!F10&gt;785,'Исходные данные'!F10&lt;935)),5,IF((AND('Исходные данные'!F10&gt;935,'Исходные данные'!F10&lt;1085)),6,IF((AND('Исходные данные'!F10&gt;1085,'Исходные данные'!F10&lt;1235)),7,IF((AND('Исходные данные'!F10&gt;1235,'Исходные данные'!F10&lt;1385)),8,IF((AND('Исходные данные'!F10&gt;1385,'Исходные данные'!F10&lt;1535)),9,IF((AND('Исходные данные'!F10&gt;1535,'Исходные данные'!F10&lt;1685)),10,IF((AND('Исходные данные'!F10&gt;1685,'Исходные данные'!F10&lt;1835)),11,IF((AND('Исходные данные'!F10&gt;1835,'Исходные данные'!F10&lt;1985)),12,IF((AND('Исходные данные'!F10&gt;1985,'Исходные данные'!F10&lt;2135)),13,IF((AND('Исходные данные'!F10&gt;2135,'Исходные данные'!F10&lt;2285)),14,IF((AND('Исходные данные'!F10&gt;2285,'Исходные данные'!F10&lt;2435)),15,IF((AND('Исходные данные'!F10&gt;180,'Исходные данные'!F10&lt;315)),1,IF((AND('Исходные данные'!F10&gt;315,'Исходные данные'!F10&lt;485)),2,IF(('Исходные данные'!F10&lt;=180),1,0)))))))))))))))),IF(('Исходные данные'!T10=0),IF(((AND('Исходные данные'!F10&gt;=165,'Исходные данные'!F10&lt;301))),1,IF(((AND('Исходные данные'!F10&gt;=301,'Исходные данные'!F10&lt;441))),2,IF(((AND('Исходные данные'!F10&gt;=441,'Исходные данные'!F10&lt;581))),3,IF(((AND('Исходные данные'!F10&gt;=581,'Исходные данные'!F10&lt;721))),4,IF(((AND('Исходные данные'!F10&gt;=721,'Исходные данные'!F10&lt;861))),5,IF(((AND('Исходные данные'!F10&gt;=861,'Исходные данные'!F10&lt;1000))),6,IF(((AND('Исходные данные'!F10&gt;=1000,'Исходные данные'!F10&lt;1141))),7,IF(((AND('Исходные данные'!F10&gt;=1141,'Исходные данные'!F10&lt;1281))),8,IF(((AND('Исходные данные'!F10&gt;=1281,'Исходные данные'!F10&lt;1421))),9,IF(((AND('Исходные данные'!F10&gt;=1421,'Исходные данные'!F10&lt;1561))),10,IF(((AND('Исходные данные'!F10&gt;=1561,'Исходные данные'!F10&lt;1701))),11,IF(((AND('Исходные данные'!F10&gt;=1701,'Исходные данные'!F10&lt;1841))),12,IF(((AND('Исходные данные'!F10&gt;=1841,'Исходные данные'!F10&lt;1981))),13,IF(((AND('Исходные данные'!F10&gt;=1981,'Исходные данные'!F10&lt;2121))),14,IF(((AND('Исходные данные'!F10&gt;=2121,'Исходные данные'!F10&lt;2261))),15,IF(((AND('Исходные данные'!F10&gt;=2261,'Исходные данные'!F10&lt;2400))),16,IF(((AND('Исходные данные'!F10&gt;=2400,'Исходные данные'!F10&lt;2410))),17,"---"))))))))))))))))),IF('Исходные данные'!M10=4,IF((AND('Исходные данные'!F10&gt;485,'Исходные данные'!F10&lt;635)),3,IF((AND('Исходные данные'!F10&gt;635,'Исходные данные'!F10&lt;785)),4,IF((AND('Исходные данные'!F10&gt;785,'Исходные данные'!F10&lt;935)),5,IF((AND('Исходные данные'!F10&gt;935,'Исходные данные'!F10&lt;1085)),6,IF((AND('Исходные данные'!F10&gt;1085,'Исходные данные'!F10&lt;1235)),7,IF((AND('Исходные данные'!F10&gt;1235,'Исходные данные'!F10&lt;1385)),8,IF((AND('Исходные данные'!F10&gt;1385,'Исходные данные'!F10&lt;1535)),9,IF((AND('Исходные данные'!F10&gt;1535,'Исходные данные'!F10&lt;1685)),10,IF((AND('Исходные данные'!F10&gt;1685,'Исходные данные'!F10&lt;1835)),11,IF((AND('Исходные данные'!F10&gt;1835,'Исходные данные'!F10&lt;1985)),12,IF((AND('Исходные данные'!F10&gt;1985,'Исходные данные'!F10&lt;2135)),13,IF((AND('Исходные данные'!F10&gt;2135,'Исходные данные'!F10&lt;2285)),14,IF((AND('Исходные данные'!F10&gt;2285,'Исходные данные'!F10&lt;2435)),15,IF((AND('Исходные данные'!F10&gt;180,'Исходные данные'!F10&lt;315)),1,IF((AND('Исходные данные'!F10&gt;315,'Исходные данные'!F10&lt;485)),2,IF(('Исходные данные'!F10&lt;=180),1,0)))))))))))))))),IF(('Исходные данные'!T10=0),IF(((AND('Исходные данные'!F10&gt;=165,'Исходные данные'!F10&lt;301))),1,IF(((AND('Исходные данные'!F10&gt;=301,'Исходные данные'!F10&lt;441))),2,IF(((AND('Исходные данные'!F10&gt;=441,'Исходные данные'!F10&lt;581))),3,IF(((AND('Исходные данные'!F10&gt;=581,'Исходные данные'!F10&lt;721))),4,IF(((AND('Исходные данные'!F10&gt;=721,'Исходные данные'!F10&lt;861))),5,IF(((AND('Исходные данные'!F10&gt;=861,'Исходные данные'!F10&lt;1000))),6,IF(((AND('Исходные данные'!F10&gt;=1000,'Исходные данные'!F10&lt;1141))),7,IF(((AND('Исходные данные'!F10&gt;=1141,'Исходные данные'!F10&lt;1281))),8,IF(((AND('Исходные данные'!F10&gt;=1281,'Исходные данные'!F10&lt;1421))),9,IF(((AND('Исходные данные'!F10&gt;=1421,'Исходные данные'!F10&lt;1561))),10,IF(((AND('Исходные данные'!F10&gt;=1561,'Исходные данные'!F10&lt;1701))),11,IF(((AND('Исходные данные'!F10&gt;=1701,'Исходные данные'!F10&lt;1841))),12,IF(((AND('Исходные данные'!F10&gt;=1841,'Исходные данные'!F10&lt;1981))),13,IF(((AND('Исходные данные'!F10&gt;=1981,'Исходные данные'!F10&lt;2121))),14,IF(((AND('Исходные данные'!F10&gt;=2121,'Исходные данные'!F10&lt;2261))),15,IF(((AND('Исходные данные'!F10&gt;=2261,'Исходные данные'!F10&lt;2400))),16,IF(((AND('Исходные данные'!F10&gt;=2400,'Исходные данные'!F10&lt;2410))),17,"---"))))))))))))))))),"----"))))</f>
        <v>----</v>
      </c>
      <c r="AS12" s="363">
        <f t="shared" si="5"/>
        <v>0</v>
      </c>
      <c r="AT12" s="363">
        <f>AS12*'Исходные данные'!H10</f>
        <v>0</v>
      </c>
      <c r="AU12" s="363">
        <f>IF('Исходные данные'!I10&lt;=140,0.013,IF('Исходные данные'!I10&lt;=290,0.021,IF('Исходные данные'!I10&gt;=300,0.042,0)))</f>
        <v>1.2999999999999999E-2</v>
      </c>
      <c r="AV12" s="363">
        <f t="shared" si="6"/>
        <v>0</v>
      </c>
      <c r="AW12" s="365">
        <f t="shared" si="7"/>
        <v>0</v>
      </c>
      <c r="AX12" s="363"/>
      <c r="AY12" s="465">
        <f>IF(X12="комплект кожухов",'Исходные данные'!H10,0)</f>
        <v>0</v>
      </c>
      <c r="AZ12" s="465"/>
      <c r="BA12" s="359">
        <f t="shared" si="8"/>
        <v>0</v>
      </c>
      <c r="BB12">
        <f>'Исходные данные'!M10</f>
        <v>0</v>
      </c>
      <c r="BC12">
        <f>IF(BB12=1,IF('Исходные данные'!F10&lt;=1000,0.017*2,IF('Исходные данные'!F10&lt;=2000,0.022*2,IF('Исходные данные'!F10&gt;2000,0.028*2,0))),IF(BB12=2,IF('Исходные данные'!F10&lt;=1000,0.017*2,IF('Исходные данные'!F10&lt;=2000,0.022*2,IF('Исходные данные'!F10&gt;2000,0.028*2,0))),IF(BB12=3,IF('Исходные данные'!F10&lt;=1000,0.017*2,IF('Исходные данные'!F10&lt;=2000,0.022*2,IF('Исходные данные'!F10&gt;2000,0.028*2,0))),0)))</f>
        <v>0</v>
      </c>
      <c r="BD12" s="356">
        <f>BC12*'Исходные данные'!H10</f>
        <v>0</v>
      </c>
      <c r="BE12" s="18">
        <f>'Труматик гермики'!P11</f>
        <v>0</v>
      </c>
      <c r="BF12" s="18">
        <f t="shared" si="9"/>
        <v>0</v>
      </c>
      <c r="BG12">
        <f t="shared" si="10"/>
        <v>0</v>
      </c>
      <c r="BH12" s="356">
        <f>BG12*'Исходные данные'!H10</f>
        <v>0</v>
      </c>
      <c r="BI12">
        <f>IF(F12="Регуляр",IF(BB12=1,0.022*'Труматик гермики'!AB11,0),0)</f>
        <v>0</v>
      </c>
      <c r="BJ12" s="356">
        <f>BI12*'Исходные данные'!H10</f>
        <v>0</v>
      </c>
      <c r="BK12">
        <f t="shared" si="11"/>
        <v>0</v>
      </c>
      <c r="BL12">
        <f t="shared" si="12"/>
        <v>0</v>
      </c>
      <c r="BM12">
        <f>IF(BL12=3,0.006*2*'Исходные данные'!H10,IF(BL12=4,0.006*1.2*2*'Исходные данные'!H10,IF(BL12=5,IF('Исходные данные'!G10&lt;=290,0.006*2*'Исходные данные'!H10,0.012*2*'Исходные данные'!H10),IF(BL12=6,IF('Исходные данные'!G10&lt;=290,0.006*1.2*2*'Исходные данные'!H10,0.012*1.2*2*'Исходные данные'!H10),0))))</f>
        <v>0</v>
      </c>
      <c r="BN12">
        <f t="shared" si="13"/>
        <v>0</v>
      </c>
      <c r="BO12" s="359">
        <f t="shared" si="14"/>
        <v>0</v>
      </c>
      <c r="BP12">
        <f t="shared" si="15"/>
        <v>0</v>
      </c>
      <c r="BQ12">
        <f>IF(AH12="ОЦ",IF('Исходные данные'!F10&lt;=2000,0.012,IF('Исходные данные'!F10&gt;2000,0.018,0)),IF(AH12="нерж",IF('Исходные данные'!F10&lt;=2000,0.012*1.2,IF('Исходные данные'!F10&gt;2000,0.018*1.2,0)),0))</f>
        <v>0</v>
      </c>
      <c r="BR12" s="356">
        <f t="shared" si="16"/>
        <v>0</v>
      </c>
    </row>
    <row r="13" spans="1:70" ht="21.75" customHeight="1" thickBot="1">
      <c r="A13" s="482"/>
      <c r="B13" s="482"/>
      <c r="C13" s="510"/>
      <c r="D13" s="142" t="s">
        <v>252</v>
      </c>
      <c r="E13" s="178">
        <f>'Исходные данные'!B11</f>
        <v>0</v>
      </c>
      <c r="F13" s="157">
        <f>'Исходные данные'!C11</f>
        <v>0</v>
      </c>
      <c r="G13" s="157">
        <f>'Исходные данные'!D11</f>
        <v>0</v>
      </c>
      <c r="H13" s="157">
        <f>'Исходные данные'!F11</f>
        <v>0</v>
      </c>
      <c r="I13" s="157" t="str">
        <f>'Труматик гермики'!E12</f>
        <v>--</v>
      </c>
      <c r="J13" s="157">
        <f>'Исходные данные'!K11</f>
        <v>0</v>
      </c>
      <c r="K13" s="157">
        <f>'Исходные данные'!G11</f>
        <v>0</v>
      </c>
      <c r="L13" s="157" t="str">
        <f>'Труматик гермики'!E12</f>
        <v>--</v>
      </c>
      <c r="M13" s="157">
        <f>'Исходные данные'!K11</f>
        <v>0</v>
      </c>
      <c r="N13" s="157">
        <f>'Исходные данные'!H11</f>
        <v>0</v>
      </c>
      <c r="O13" s="159">
        <f>'Исходные данные'!F11</f>
        <v>0</v>
      </c>
      <c r="P13" s="159">
        <f>IF('Исходные данные'!H11&gt;0,'Исходные данные'!H11*2,0)</f>
        <v>0</v>
      </c>
      <c r="Q13" s="159">
        <f>'Исходные данные'!G11</f>
        <v>0</v>
      </c>
      <c r="R13" s="159">
        <f>IF('Исходные данные'!H11&gt;0,'Исходные данные'!H11*2,0)</f>
        <v>0</v>
      </c>
      <c r="S13" s="159">
        <f>'Исходные данные'!K11</f>
        <v>0</v>
      </c>
      <c r="T13" s="159" t="str">
        <f>'Задание на Trumpf'!S12</f>
        <v>---</v>
      </c>
      <c r="U13" s="159">
        <f>'Труматик гермики'!Q12</f>
        <v>0</v>
      </c>
      <c r="V13" s="159">
        <f>IF(U13="-----",0,'Задание на гибку'!U13*'Исходные данные'!H11)</f>
        <v>0</v>
      </c>
      <c r="W13" s="159" t="str">
        <f>IF('Исходные данные'!L11=1,"ОЦ",IF('Исходные данные'!L11=2,"нерж",IF('Исходные данные'!L11=3,"ОЦ",IF('Исходные данные'!L11=4,"ОЦ","---"))))</f>
        <v>---</v>
      </c>
      <c r="X13" s="507" t="str">
        <f>IF('Исходные данные'!M11=1,"Комплект кожухов","___")</f>
        <v>___</v>
      </c>
      <c r="Y13" s="507"/>
      <c r="Z13" s="213">
        <f>'Исходные данные'!K11</f>
        <v>0</v>
      </c>
      <c r="AA13" s="159" t="str">
        <f t="shared" si="0"/>
        <v>---</v>
      </c>
      <c r="AB13" s="213">
        <f>IF('Исходные данные'!M11=1,'Задание Ножницы лента'!I14,IF('Исходные данные'!M11=2,'Задание Ножницы лента'!I14,IF('Исходные данные'!M11=3,'Задание Ножницы лента'!I14,IF('Исходные данные'!M11=4,"---",))))</f>
        <v>0</v>
      </c>
      <c r="AC13" s="213" t="str">
        <f>'Задание Ножницы лента'!M14</f>
        <v>---</v>
      </c>
      <c r="AD13" s="159" t="str">
        <f>IF('Исходные данные'!M11=1,"ВГ 111.00.00.003",IF('Исходные данные'!M11=3,"ВГ 111.00.00.003",IF('Исходные данные'!M11=2,"ВГ 050.00.00.005",IF('Исходные данные'!M11=4,"ВГ 050.00.00.005","---"))))</f>
        <v>---</v>
      </c>
      <c r="AE13" s="159" t="str">
        <f>'Задание на Trumpf'!Y12</f>
        <v>---</v>
      </c>
      <c r="AF13" s="159" t="str">
        <f t="shared" si="1"/>
        <v>---</v>
      </c>
      <c r="AG13" s="368">
        <f>IF(AE13&gt;0,'Исходные данные'!H11*2,0)</f>
        <v>0</v>
      </c>
      <c r="AH13" s="369" t="str">
        <f t="shared" si="2"/>
        <v>---</v>
      </c>
      <c r="AI13" s="366">
        <f>'Исходные данные'!H11</f>
        <v>0</v>
      </c>
      <c r="AJ13" s="370"/>
      <c r="AK13" s="509"/>
      <c r="AL13" s="506"/>
      <c r="AM13" s="506"/>
      <c r="AN13" s="364"/>
      <c r="AO13" s="356">
        <f t="shared" si="3"/>
        <v>0</v>
      </c>
      <c r="AP13" s="18"/>
      <c r="AQ13" s="356">
        <f t="shared" si="4"/>
        <v>0</v>
      </c>
      <c r="AR13" s="18" t="str">
        <f>IF('Исходные данные'!M11=2,IF((AND('Исходные данные'!F11&gt;485,'Исходные данные'!F11&lt;635)),3,IF((AND('Исходные данные'!F11&gt;635,'Исходные данные'!F11&lt;785)),4,IF((AND('Исходные данные'!F11&gt;785,'Исходные данные'!F11&lt;935)),5,IF((AND('Исходные данные'!F11&gt;935,'Исходные данные'!F11&lt;1085)),6,IF((AND('Исходные данные'!F11&gt;1085,'Исходные данные'!F11&lt;1235)),7,IF((AND('Исходные данные'!F11&gt;1235,'Исходные данные'!F11&lt;1385)),8,IF((AND('Исходные данные'!F11&gt;1385,'Исходные данные'!F11&lt;1535)),9,IF((AND('Исходные данные'!F11&gt;1535,'Исходные данные'!F11&lt;1685)),10,IF((AND('Исходные данные'!F11&gt;1685,'Исходные данные'!F11&lt;1835)),11,IF((AND('Исходные данные'!F11&gt;1835,'Исходные данные'!F11&lt;1985)),12,IF((AND('Исходные данные'!F11&gt;1985,'Исходные данные'!F11&lt;2135)),13,IF((AND('Исходные данные'!F11&gt;2135,'Исходные данные'!F11&lt;2285)),14,IF((AND('Исходные данные'!F11&gt;2285,'Исходные данные'!F11&lt;2435)),15,IF((AND('Исходные данные'!F11&gt;180,'Исходные данные'!F11&lt;315)),1,IF((AND('Исходные данные'!F11&gt;315,'Исходные данные'!F11&lt;485)),2,IF(('Исходные данные'!F11&lt;=180),1,0)))))))))))))))),IF(('Исходные данные'!T11=0),IF(((AND('Исходные данные'!F11&gt;=165,'Исходные данные'!F11&lt;301))),1,IF(((AND('Исходные данные'!F11&gt;=301,'Исходные данные'!F11&lt;441))),2,IF(((AND('Исходные данные'!F11&gt;=441,'Исходные данные'!F11&lt;581))),3,IF(((AND('Исходные данные'!F11&gt;=581,'Исходные данные'!F11&lt;721))),4,IF(((AND('Исходные данные'!F11&gt;=721,'Исходные данные'!F11&lt;861))),5,IF(((AND('Исходные данные'!F11&gt;=861,'Исходные данные'!F11&lt;1000))),6,IF(((AND('Исходные данные'!F11&gt;=1000,'Исходные данные'!F11&lt;1141))),7,IF(((AND('Исходные данные'!F11&gt;=1141,'Исходные данные'!F11&lt;1281))),8,IF(((AND('Исходные данные'!F11&gt;=1281,'Исходные данные'!F11&lt;1421))),9,IF(((AND('Исходные данные'!F11&gt;=1421,'Исходные данные'!F11&lt;1561))),10,IF(((AND('Исходные данные'!F11&gt;=1561,'Исходные данные'!F11&lt;1701))),11,IF(((AND('Исходные данные'!F11&gt;=1701,'Исходные данные'!F11&lt;1841))),12,IF(((AND('Исходные данные'!F11&gt;=1841,'Исходные данные'!F11&lt;1981))),13,IF(((AND('Исходные данные'!F11&gt;=1981,'Исходные данные'!F11&lt;2121))),14,IF(((AND('Исходные данные'!F11&gt;=2121,'Исходные данные'!F11&lt;2261))),15,IF(((AND('Исходные данные'!F11&gt;=2261,'Исходные данные'!F11&lt;2400))),16,IF(((AND('Исходные данные'!F11&gt;=2400,'Исходные данные'!F11&lt;2410))),17,"---"))))))))))))))))),IF('Исходные данные'!M11=4,IF((AND('Исходные данные'!F11&gt;485,'Исходные данные'!F11&lt;635)),3,IF((AND('Исходные данные'!F11&gt;635,'Исходные данные'!F11&lt;785)),4,IF((AND('Исходные данные'!F11&gt;785,'Исходные данные'!F11&lt;935)),5,IF((AND('Исходные данные'!F11&gt;935,'Исходные данные'!F11&lt;1085)),6,IF((AND('Исходные данные'!F11&gt;1085,'Исходные данные'!F11&lt;1235)),7,IF((AND('Исходные данные'!F11&gt;1235,'Исходные данные'!F11&lt;1385)),8,IF((AND('Исходные данные'!F11&gt;1385,'Исходные данные'!F11&lt;1535)),9,IF((AND('Исходные данные'!F11&gt;1535,'Исходные данные'!F11&lt;1685)),10,IF((AND('Исходные данные'!F11&gt;1685,'Исходные данные'!F11&lt;1835)),11,IF((AND('Исходные данные'!F11&gt;1835,'Исходные данные'!F11&lt;1985)),12,IF((AND('Исходные данные'!F11&gt;1985,'Исходные данные'!F11&lt;2135)),13,IF((AND('Исходные данные'!F11&gt;2135,'Исходные данные'!F11&lt;2285)),14,IF((AND('Исходные данные'!F11&gt;2285,'Исходные данные'!F11&lt;2435)),15,IF((AND('Исходные данные'!F11&gt;180,'Исходные данные'!F11&lt;315)),1,IF((AND('Исходные данные'!F11&gt;315,'Исходные данные'!F11&lt;485)),2,IF(('Исходные данные'!F11&lt;=180),1,0)))))))))))))))),IF(('Исходные данные'!T11=0),IF(((AND('Исходные данные'!F11&gt;=165,'Исходные данные'!F11&lt;301))),1,IF(((AND('Исходные данные'!F11&gt;=301,'Исходные данные'!F11&lt;441))),2,IF(((AND('Исходные данные'!F11&gt;=441,'Исходные данные'!F11&lt;581))),3,IF(((AND('Исходные данные'!F11&gt;=581,'Исходные данные'!F11&lt;721))),4,IF(((AND('Исходные данные'!F11&gt;=721,'Исходные данные'!F11&lt;861))),5,IF(((AND('Исходные данные'!F11&gt;=861,'Исходные данные'!F11&lt;1000))),6,IF(((AND('Исходные данные'!F11&gt;=1000,'Исходные данные'!F11&lt;1141))),7,IF(((AND('Исходные данные'!F11&gt;=1141,'Исходные данные'!F11&lt;1281))),8,IF(((AND('Исходные данные'!F11&gt;=1281,'Исходные данные'!F11&lt;1421))),9,IF(((AND('Исходные данные'!F11&gt;=1421,'Исходные данные'!F11&lt;1561))),10,IF(((AND('Исходные данные'!F11&gt;=1561,'Исходные данные'!F11&lt;1701))),11,IF(((AND('Исходные данные'!F11&gt;=1701,'Исходные данные'!F11&lt;1841))),12,IF(((AND('Исходные данные'!F11&gt;=1841,'Исходные данные'!F11&lt;1981))),13,IF(((AND('Исходные данные'!F11&gt;=1981,'Исходные данные'!F11&lt;2121))),14,IF(((AND('Исходные данные'!F11&gt;=2121,'Исходные данные'!F11&lt;2261))),15,IF(((AND('Исходные данные'!F11&gt;=2261,'Исходные данные'!F11&lt;2400))),16,IF(((AND('Исходные данные'!F11&gt;=2400,'Исходные данные'!F11&lt;2410))),17,"---"))))))))))))))))),"----"))))</f>
        <v>----</v>
      </c>
      <c r="AS13" s="363">
        <f t="shared" si="5"/>
        <v>0</v>
      </c>
      <c r="AT13" s="363">
        <f>AS13*'Исходные данные'!H11</f>
        <v>0</v>
      </c>
      <c r="AU13" s="363">
        <f>IF('Исходные данные'!I11&lt;=140,0.013,IF('Исходные данные'!I11&lt;=290,0.021,IF('Исходные данные'!I11&gt;=300,0.042,0)))</f>
        <v>1.2999999999999999E-2</v>
      </c>
      <c r="AV13" s="363">
        <f t="shared" si="6"/>
        <v>0</v>
      </c>
      <c r="AW13" s="365">
        <f t="shared" si="7"/>
        <v>0</v>
      </c>
      <c r="AX13" s="363"/>
      <c r="AY13" s="465">
        <f>IF(X13="комплект кожухов",'Исходные данные'!H11,0)</f>
        <v>0</v>
      </c>
      <c r="AZ13" s="465"/>
      <c r="BA13" s="359">
        <f t="shared" si="8"/>
        <v>0</v>
      </c>
      <c r="BB13">
        <f>'Исходные данные'!M11</f>
        <v>0</v>
      </c>
      <c r="BC13">
        <f>IF(BB13=1,IF('Исходные данные'!F11&lt;=1000,0.017*2,IF('Исходные данные'!F11&lt;=2000,0.022*2,IF('Исходные данные'!F11&gt;2000,0.028*2,0))),IF(BB13=2,IF('Исходные данные'!F11&lt;=1000,0.017*2,IF('Исходные данные'!F11&lt;=2000,0.022*2,IF('Исходные данные'!F11&gt;2000,0.028*2,0))),IF(BB13=3,IF('Исходные данные'!F11&lt;=1000,0.017*2,IF('Исходные данные'!F11&lt;=2000,0.022*2,IF('Исходные данные'!F11&gt;2000,0.028*2,0))),0)))</f>
        <v>0</v>
      </c>
      <c r="BD13" s="356">
        <f>BC13*'Исходные данные'!H11</f>
        <v>0</v>
      </c>
      <c r="BE13" s="18">
        <f>'Труматик гермики'!P12</f>
        <v>0</v>
      </c>
      <c r="BF13" s="18">
        <f t="shared" si="9"/>
        <v>0</v>
      </c>
      <c r="BG13">
        <f t="shared" si="10"/>
        <v>0</v>
      </c>
      <c r="BH13" s="356">
        <f>BG13*'Исходные данные'!H11</f>
        <v>0</v>
      </c>
      <c r="BI13">
        <f>IF(F13="Регуляр",IF(BB13=1,0.022*'Труматик гермики'!AB12,0),0)</f>
        <v>0</v>
      </c>
      <c r="BJ13" s="356">
        <f>BI13*'Исходные данные'!H11</f>
        <v>0</v>
      </c>
      <c r="BK13">
        <f t="shared" si="11"/>
        <v>0</v>
      </c>
      <c r="BL13">
        <f t="shared" si="12"/>
        <v>0</v>
      </c>
      <c r="BM13">
        <f>IF(BL13=3,0.006*2*'Исходные данные'!H11,IF(BL13=4,0.006*1.2*2*'Исходные данные'!H11,IF(BL13=5,IF('Исходные данные'!G11&lt;=290,0.006*2*'Исходные данные'!H11,0.012*2*'Исходные данные'!H11),IF(BL13=6,IF('Исходные данные'!G11&lt;=290,0.006*1.2*2*'Исходные данные'!H11,0.012*1.2*2*'Исходные данные'!H11),0))))</f>
        <v>0</v>
      </c>
      <c r="BN13">
        <f t="shared" si="13"/>
        <v>0</v>
      </c>
      <c r="BO13" s="359">
        <f t="shared" si="14"/>
        <v>0</v>
      </c>
      <c r="BP13">
        <f t="shared" si="15"/>
        <v>0</v>
      </c>
      <c r="BQ13">
        <f>IF(AH13="ОЦ",IF('Исходные данные'!F11&lt;=2000,0.012,IF('Исходные данные'!F11&gt;2000,0.018,0)),IF(AH13="нерж",IF('Исходные данные'!F11&lt;=2000,0.012*1.2,IF('Исходные данные'!F11&gt;2000,0.018*1.2,0)),0))</f>
        <v>0</v>
      </c>
      <c r="BR13" s="356">
        <f t="shared" si="16"/>
        <v>0</v>
      </c>
    </row>
    <row r="14" spans="1:70" ht="21.75" customHeight="1" thickBot="1">
      <c r="A14" s="482"/>
      <c r="B14" s="482"/>
      <c r="C14" s="510"/>
      <c r="D14" s="142" t="s">
        <v>253</v>
      </c>
      <c r="E14" s="178">
        <f>'Исходные данные'!B12</f>
        <v>0</v>
      </c>
      <c r="F14" s="157">
        <f>'Исходные данные'!C12</f>
        <v>0</v>
      </c>
      <c r="G14" s="157">
        <f>'Исходные данные'!D12</f>
        <v>0</v>
      </c>
      <c r="H14" s="157">
        <f>'Исходные данные'!F12</f>
        <v>0</v>
      </c>
      <c r="I14" s="157" t="str">
        <f>'Труматик гермики'!E13</f>
        <v>--</v>
      </c>
      <c r="J14" s="157">
        <f>'Исходные данные'!K12</f>
        <v>0</v>
      </c>
      <c r="K14" s="157">
        <f>'Исходные данные'!G12</f>
        <v>0</v>
      </c>
      <c r="L14" s="157" t="str">
        <f>'Труматик гермики'!E13</f>
        <v>--</v>
      </c>
      <c r="M14" s="157">
        <f>'Исходные данные'!K12</f>
        <v>0</v>
      </c>
      <c r="N14" s="157">
        <f>'Исходные данные'!H12</f>
        <v>0</v>
      </c>
      <c r="O14" s="159">
        <f>'Исходные данные'!F12</f>
        <v>0</v>
      </c>
      <c r="P14" s="159">
        <f>IF('Исходные данные'!H12&gt;0,'Исходные данные'!H12*2,0)</f>
        <v>0</v>
      </c>
      <c r="Q14" s="159">
        <f>'Исходные данные'!G12</f>
        <v>0</v>
      </c>
      <c r="R14" s="159">
        <f>IF('Исходные данные'!H12&gt;0,'Исходные данные'!H12*2,0)</f>
        <v>0</v>
      </c>
      <c r="S14" s="159">
        <f>'Исходные данные'!K12</f>
        <v>0</v>
      </c>
      <c r="T14" s="159" t="str">
        <f>'Задание на Trumpf'!S13</f>
        <v>---</v>
      </c>
      <c r="U14" s="159">
        <f>'Труматик гермики'!Q13</f>
        <v>0</v>
      </c>
      <c r="V14" s="159">
        <f>IF(U14="-----",0,'Задание на гибку'!U14*'Исходные данные'!H12)</f>
        <v>0</v>
      </c>
      <c r="W14" s="159" t="str">
        <f>IF('Исходные данные'!L12=1,"ОЦ",IF('Исходные данные'!L12=2,"нерж",IF('Исходные данные'!L12=3,"ОЦ",IF('Исходные данные'!L12=4,"ОЦ","---"))))</f>
        <v>---</v>
      </c>
      <c r="X14" s="507" t="str">
        <f>IF('Исходные данные'!M12=1,"Комплект кожухов","___")</f>
        <v>___</v>
      </c>
      <c r="Y14" s="507"/>
      <c r="Z14" s="213">
        <f>'Исходные данные'!K12</f>
        <v>0</v>
      </c>
      <c r="AA14" s="159" t="str">
        <f t="shared" si="0"/>
        <v>---</v>
      </c>
      <c r="AB14" s="213">
        <f>IF('Исходные данные'!M12=1,'Задание Ножницы лента'!I15,IF('Исходные данные'!M12=2,'Задание Ножницы лента'!I15,IF('Исходные данные'!M12=3,'Задание Ножницы лента'!I15,IF('Исходные данные'!M12=4,"---",))))</f>
        <v>0</v>
      </c>
      <c r="AC14" s="213" t="str">
        <f>'Задание Ножницы лента'!M15</f>
        <v>---</v>
      </c>
      <c r="AD14" s="159" t="str">
        <f>IF('Исходные данные'!M12=1,"ВГ 111.00.00.003",IF('Исходные данные'!M12=3,"ВГ 111.00.00.003",IF('Исходные данные'!M12=2,"ВГ 050.00.00.005",IF('Исходные данные'!M12=4,"ВГ 050.00.00.005","---"))))</f>
        <v>---</v>
      </c>
      <c r="AE14" s="159" t="str">
        <f>'Задание на Trumpf'!Y13</f>
        <v>---</v>
      </c>
      <c r="AF14" s="159" t="str">
        <f t="shared" si="1"/>
        <v>---</v>
      </c>
      <c r="AG14" s="368">
        <f>IF(AE14&gt;0,'Исходные данные'!H12*2,0)</f>
        <v>0</v>
      </c>
      <c r="AH14" s="369" t="str">
        <f t="shared" si="2"/>
        <v>---</v>
      </c>
      <c r="AI14" s="366">
        <f>'Исходные данные'!H12</f>
        <v>0</v>
      </c>
      <c r="AK14" s="509"/>
      <c r="AL14" s="506"/>
      <c r="AM14" s="118"/>
      <c r="AN14" s="364"/>
      <c r="AO14" s="356">
        <f t="shared" si="3"/>
        <v>0</v>
      </c>
      <c r="AP14" s="18"/>
      <c r="AQ14" s="356">
        <f t="shared" si="4"/>
        <v>0</v>
      </c>
      <c r="AR14" s="18" t="str">
        <f>IF('Исходные данные'!M12=2,IF((AND('Исходные данные'!F12&gt;485,'Исходные данные'!F12&lt;635)),3,IF((AND('Исходные данные'!F12&gt;635,'Исходные данные'!F12&lt;785)),4,IF((AND('Исходные данные'!F12&gt;785,'Исходные данные'!F12&lt;935)),5,IF((AND('Исходные данные'!F12&gt;935,'Исходные данные'!F12&lt;1085)),6,IF((AND('Исходные данные'!F12&gt;1085,'Исходные данные'!F12&lt;1235)),7,IF((AND('Исходные данные'!F12&gt;1235,'Исходные данные'!F12&lt;1385)),8,IF((AND('Исходные данные'!F12&gt;1385,'Исходные данные'!F12&lt;1535)),9,IF((AND('Исходные данные'!F12&gt;1535,'Исходные данные'!F12&lt;1685)),10,IF((AND('Исходные данные'!F12&gt;1685,'Исходные данные'!F12&lt;1835)),11,IF((AND('Исходные данные'!F12&gt;1835,'Исходные данные'!F12&lt;1985)),12,IF((AND('Исходные данные'!F12&gt;1985,'Исходные данные'!F12&lt;2135)),13,IF((AND('Исходные данные'!F12&gt;2135,'Исходные данные'!F12&lt;2285)),14,IF((AND('Исходные данные'!F12&gt;2285,'Исходные данные'!F12&lt;2435)),15,IF((AND('Исходные данные'!F12&gt;180,'Исходные данные'!F12&lt;315)),1,IF((AND('Исходные данные'!F12&gt;315,'Исходные данные'!F12&lt;485)),2,IF(('Исходные данные'!F12&lt;=180),1,0)))))))))))))))),IF(('Исходные данные'!T12=0),IF(((AND('Исходные данные'!F12&gt;=165,'Исходные данные'!F12&lt;301))),1,IF(((AND('Исходные данные'!F12&gt;=301,'Исходные данные'!F12&lt;441))),2,IF(((AND('Исходные данные'!F12&gt;=441,'Исходные данные'!F12&lt;581))),3,IF(((AND('Исходные данные'!F12&gt;=581,'Исходные данные'!F12&lt;721))),4,IF(((AND('Исходные данные'!F12&gt;=721,'Исходные данные'!F12&lt;861))),5,IF(((AND('Исходные данные'!F12&gt;=861,'Исходные данные'!F12&lt;1000))),6,IF(((AND('Исходные данные'!F12&gt;=1000,'Исходные данные'!F12&lt;1141))),7,IF(((AND('Исходные данные'!F12&gt;=1141,'Исходные данные'!F12&lt;1281))),8,IF(((AND('Исходные данные'!F12&gt;=1281,'Исходные данные'!F12&lt;1421))),9,IF(((AND('Исходные данные'!F12&gt;=1421,'Исходные данные'!F12&lt;1561))),10,IF(((AND('Исходные данные'!F12&gt;=1561,'Исходные данные'!F12&lt;1701))),11,IF(((AND('Исходные данные'!F12&gt;=1701,'Исходные данные'!F12&lt;1841))),12,IF(((AND('Исходные данные'!F12&gt;=1841,'Исходные данные'!F12&lt;1981))),13,IF(((AND('Исходные данные'!F12&gt;=1981,'Исходные данные'!F12&lt;2121))),14,IF(((AND('Исходные данные'!F12&gt;=2121,'Исходные данные'!F12&lt;2261))),15,IF(((AND('Исходные данные'!F12&gt;=2261,'Исходные данные'!F12&lt;2400))),16,IF(((AND('Исходные данные'!F12&gt;=2400,'Исходные данные'!F12&lt;2410))),17,"---"))))))))))))))))),IF('Исходные данные'!M12=4,IF((AND('Исходные данные'!F12&gt;485,'Исходные данные'!F12&lt;635)),3,IF((AND('Исходные данные'!F12&gt;635,'Исходные данные'!F12&lt;785)),4,IF((AND('Исходные данные'!F12&gt;785,'Исходные данные'!F12&lt;935)),5,IF((AND('Исходные данные'!F12&gt;935,'Исходные данные'!F12&lt;1085)),6,IF((AND('Исходные данные'!F12&gt;1085,'Исходные данные'!F12&lt;1235)),7,IF((AND('Исходные данные'!F12&gt;1235,'Исходные данные'!F12&lt;1385)),8,IF((AND('Исходные данные'!F12&gt;1385,'Исходные данные'!F12&lt;1535)),9,IF((AND('Исходные данные'!F12&gt;1535,'Исходные данные'!F12&lt;1685)),10,IF((AND('Исходные данные'!F12&gt;1685,'Исходные данные'!F12&lt;1835)),11,IF((AND('Исходные данные'!F12&gt;1835,'Исходные данные'!F12&lt;1985)),12,IF((AND('Исходные данные'!F12&gt;1985,'Исходные данные'!F12&lt;2135)),13,IF((AND('Исходные данные'!F12&gt;2135,'Исходные данные'!F12&lt;2285)),14,IF((AND('Исходные данные'!F12&gt;2285,'Исходные данные'!F12&lt;2435)),15,IF((AND('Исходные данные'!F12&gt;180,'Исходные данные'!F12&lt;315)),1,IF((AND('Исходные данные'!F12&gt;315,'Исходные данные'!F12&lt;485)),2,IF(('Исходные данные'!F12&lt;=180),1,0)))))))))))))))),IF(('Исходные данные'!T12=0),IF(((AND('Исходные данные'!F12&gt;=165,'Исходные данные'!F12&lt;301))),1,IF(((AND('Исходные данные'!F12&gt;=301,'Исходные данные'!F12&lt;441))),2,IF(((AND('Исходные данные'!F12&gt;=441,'Исходные данные'!F12&lt;581))),3,IF(((AND('Исходные данные'!F12&gt;=581,'Исходные данные'!F12&lt;721))),4,IF(((AND('Исходные данные'!F12&gt;=721,'Исходные данные'!F12&lt;861))),5,IF(((AND('Исходные данные'!F12&gt;=861,'Исходные данные'!F12&lt;1000))),6,IF(((AND('Исходные данные'!F12&gt;=1000,'Исходные данные'!F12&lt;1141))),7,IF(((AND('Исходные данные'!F12&gt;=1141,'Исходные данные'!F12&lt;1281))),8,IF(((AND('Исходные данные'!F12&gt;=1281,'Исходные данные'!F12&lt;1421))),9,IF(((AND('Исходные данные'!F12&gt;=1421,'Исходные данные'!F12&lt;1561))),10,IF(((AND('Исходные данные'!F12&gt;=1561,'Исходные данные'!F12&lt;1701))),11,IF(((AND('Исходные данные'!F12&gt;=1701,'Исходные данные'!F12&lt;1841))),12,IF(((AND('Исходные данные'!F12&gt;=1841,'Исходные данные'!F12&lt;1981))),13,IF(((AND('Исходные данные'!F12&gt;=1981,'Исходные данные'!F12&lt;2121))),14,IF(((AND('Исходные данные'!F12&gt;=2121,'Исходные данные'!F12&lt;2261))),15,IF(((AND('Исходные данные'!F12&gt;=2261,'Исходные данные'!F12&lt;2400))),16,IF(((AND('Исходные данные'!F12&gt;=2400,'Исходные данные'!F12&lt;2410))),17,"---"))))))))))))))))),"----"))))</f>
        <v>----</v>
      </c>
      <c r="AS14" s="363">
        <f t="shared" si="5"/>
        <v>0</v>
      </c>
      <c r="AT14" s="363">
        <f>AS14*'Исходные данные'!H12</f>
        <v>0</v>
      </c>
      <c r="AU14" s="363">
        <f>IF('Исходные данные'!I12&lt;=140,0.013,IF('Исходные данные'!I12&lt;=290,0.021,IF('Исходные данные'!I12&gt;=300,0.042,0)))</f>
        <v>4.2000000000000003E-2</v>
      </c>
      <c r="AV14" s="363">
        <f t="shared" si="6"/>
        <v>0</v>
      </c>
      <c r="AW14" s="365">
        <f t="shared" si="7"/>
        <v>0</v>
      </c>
      <c r="AX14" s="363"/>
      <c r="AY14" s="465">
        <f>IF(X14="комплект кожухов",'Исходные данные'!H12,0)</f>
        <v>0</v>
      </c>
      <c r="AZ14" s="465"/>
      <c r="BA14" s="359">
        <f t="shared" si="8"/>
        <v>0</v>
      </c>
      <c r="BB14">
        <f>'Исходные данные'!M12</f>
        <v>0</v>
      </c>
      <c r="BC14">
        <f>IF(BB14=1,IF('Исходные данные'!F12&lt;=1000,0.017*2,IF('Исходные данные'!F12&lt;=2000,0.022*2,IF('Исходные данные'!F12&gt;2000,0.028*2,0))),IF(BB14=2,IF('Исходные данные'!F12&lt;=1000,0.017*2,IF('Исходные данные'!F12&lt;=2000,0.022*2,IF('Исходные данные'!F12&gt;2000,0.028*2,0))),IF(BB14=3,IF('Исходные данные'!F12&lt;=1000,0.017*2,IF('Исходные данные'!F12&lt;=2000,0.022*2,IF('Исходные данные'!F12&gt;2000,0.028*2,0))),0)))</f>
        <v>0</v>
      </c>
      <c r="BD14" s="356">
        <f>BC14*'Исходные данные'!H12</f>
        <v>0</v>
      </c>
      <c r="BE14" s="18">
        <f>'Труматик гермики'!P13</f>
        <v>0</v>
      </c>
      <c r="BF14" s="18">
        <f t="shared" si="9"/>
        <v>0</v>
      </c>
      <c r="BG14">
        <f t="shared" si="10"/>
        <v>0</v>
      </c>
      <c r="BH14" s="356">
        <f>BG14*'Исходные данные'!H12</f>
        <v>0</v>
      </c>
      <c r="BI14">
        <f>IF(F14="Регуляр",IF(BB14=1,0.022*'Труматик гермики'!AB13,0),0)</f>
        <v>0</v>
      </c>
      <c r="BJ14" s="356">
        <f>BI14*'Исходные данные'!H12</f>
        <v>0</v>
      </c>
      <c r="BK14">
        <f t="shared" si="11"/>
        <v>0</v>
      </c>
      <c r="BL14">
        <f t="shared" si="12"/>
        <v>0</v>
      </c>
      <c r="BM14">
        <f>IF(BL14=3,0.006*2*'Исходные данные'!H12,IF(BL14=4,0.006*1.2*2*'Исходные данные'!H12,IF(BL14=5,IF('Исходные данные'!G12&lt;=290,0.006*2*'Исходные данные'!H12,0.012*2*'Исходные данные'!H12),IF(BL14=6,IF('Исходные данные'!G12&lt;=290,0.006*1.2*2*'Исходные данные'!H12,0.012*1.2*2*'Исходные данные'!H12),0))))</f>
        <v>0</v>
      </c>
      <c r="BN14">
        <f t="shared" si="13"/>
        <v>0</v>
      </c>
      <c r="BO14" s="359">
        <f t="shared" si="14"/>
        <v>0</v>
      </c>
      <c r="BP14">
        <f t="shared" si="15"/>
        <v>0</v>
      </c>
      <c r="BQ14">
        <f>IF(AH14="ОЦ",IF('Исходные данные'!F12&lt;=2000,0.012,IF('Исходные данные'!F12&gt;2000,0.018,0)),IF(AH14="нерж",IF('Исходные данные'!F12&lt;=2000,0.012*1.2,IF('Исходные данные'!F12&gt;2000,0.018*1.2,0)),0))</f>
        <v>0</v>
      </c>
      <c r="BR14" s="356">
        <f t="shared" si="16"/>
        <v>0</v>
      </c>
    </row>
    <row r="15" spans="1:70" ht="21.75" customHeight="1" thickBot="1">
      <c r="A15" s="482"/>
      <c r="B15" s="482"/>
      <c r="C15" s="510"/>
      <c r="D15" s="142" t="s">
        <v>254</v>
      </c>
      <c r="E15" s="178">
        <f>'Исходные данные'!B13</f>
        <v>0</v>
      </c>
      <c r="F15" s="157">
        <f>'Исходные данные'!C13</f>
        <v>0</v>
      </c>
      <c r="G15" s="157">
        <f>'Исходные данные'!D13</f>
        <v>0</v>
      </c>
      <c r="H15" s="157">
        <f>'Исходные данные'!F13</f>
        <v>0</v>
      </c>
      <c r="I15" s="157" t="str">
        <f>'Труматик гермики'!E14</f>
        <v>--</v>
      </c>
      <c r="J15" s="157">
        <f>'Исходные данные'!K13</f>
        <v>0</v>
      </c>
      <c r="K15" s="157">
        <f>'Исходные данные'!G13</f>
        <v>0</v>
      </c>
      <c r="L15" s="157" t="str">
        <f>'Труматик гермики'!E14</f>
        <v>--</v>
      </c>
      <c r="M15" s="157">
        <f>'Исходные данные'!K13</f>
        <v>0</v>
      </c>
      <c r="N15" s="157">
        <f>'Исходные данные'!H13</f>
        <v>0</v>
      </c>
      <c r="O15" s="159">
        <f>'Исходные данные'!F13</f>
        <v>0</v>
      </c>
      <c r="P15" s="159">
        <f>IF('Исходные данные'!H13&gt;0,'Исходные данные'!H13*2,0)</f>
        <v>0</v>
      </c>
      <c r="Q15" s="159">
        <f>'Исходные данные'!G13</f>
        <v>0</v>
      </c>
      <c r="R15" s="159">
        <f>IF('Исходные данные'!H13&gt;0,'Исходные данные'!H13*2,0)</f>
        <v>0</v>
      </c>
      <c r="S15" s="159">
        <f>'Исходные данные'!K13</f>
        <v>0</v>
      </c>
      <c r="T15" s="159" t="str">
        <f>'Задание на Trumpf'!S14</f>
        <v>---</v>
      </c>
      <c r="U15" s="159">
        <f>'Труматик гермики'!Q14</f>
        <v>0</v>
      </c>
      <c r="V15" s="159">
        <f>IF(U15="-----",0,'Задание на гибку'!U15*'Исходные данные'!H13)</f>
        <v>0</v>
      </c>
      <c r="W15" s="159" t="str">
        <f>IF('Исходные данные'!L13=1,"ОЦ",IF('Исходные данные'!L13=2,"нерж",IF('Исходные данные'!L13=3,"ОЦ",IF('Исходные данные'!L13=4,"ОЦ","---"))))</f>
        <v>---</v>
      </c>
      <c r="X15" s="507" t="str">
        <f>IF('Исходные данные'!M13=1,"Комплект кожухов","___")</f>
        <v>___</v>
      </c>
      <c r="Y15" s="507"/>
      <c r="Z15" s="213">
        <f>'Исходные данные'!K13</f>
        <v>0</v>
      </c>
      <c r="AA15" s="159" t="str">
        <f t="shared" si="0"/>
        <v>---</v>
      </c>
      <c r="AB15" s="213">
        <f>IF('Исходные данные'!M13=1,'Задание Ножницы лента'!I16,IF('Исходные данные'!M13=2,'Задание Ножницы лента'!I16,IF('Исходные данные'!M13=3,'Задание Ножницы лента'!I16,IF('Исходные данные'!M13=4,"---",))))</f>
        <v>0</v>
      </c>
      <c r="AC15" s="213" t="str">
        <f>'Задание Ножницы лента'!M16</f>
        <v>---</v>
      </c>
      <c r="AD15" s="159" t="str">
        <f>IF('Исходные данные'!M13=1,"ВГ 111.00.00.003",IF('Исходные данные'!M13=3,"ВГ 111.00.00.003",IF('Исходные данные'!M13=2,"ВГ 050.00.00.005",IF('Исходные данные'!M13=4,"ВГ 050.00.00.005","---"))))</f>
        <v>---</v>
      </c>
      <c r="AE15" s="159" t="str">
        <f>'Задание на Trumpf'!Y14</f>
        <v>---</v>
      </c>
      <c r="AF15" s="159" t="str">
        <f t="shared" si="1"/>
        <v>---</v>
      </c>
      <c r="AG15" s="368">
        <f>IF(AE15&gt;0,'Исходные данные'!H13*2,0)</f>
        <v>0</v>
      </c>
      <c r="AH15" s="369" t="str">
        <f t="shared" si="2"/>
        <v>---</v>
      </c>
      <c r="AI15" s="366">
        <f>'Исходные данные'!H13</f>
        <v>0</v>
      </c>
      <c r="AK15" s="509"/>
      <c r="AL15" s="506"/>
      <c r="AM15" s="506"/>
      <c r="AN15" s="364"/>
      <c r="AO15" s="356">
        <f t="shared" si="3"/>
        <v>0</v>
      </c>
      <c r="AP15" s="18"/>
      <c r="AQ15" s="356">
        <f t="shared" si="4"/>
        <v>0</v>
      </c>
      <c r="AR15" s="18" t="str">
        <f>IF('Исходные данные'!M13=2,IF((AND('Исходные данные'!F13&gt;485,'Исходные данные'!F13&lt;635)),3,IF((AND('Исходные данные'!F13&gt;635,'Исходные данные'!F13&lt;785)),4,IF((AND('Исходные данные'!F13&gt;785,'Исходные данные'!F13&lt;935)),5,IF((AND('Исходные данные'!F13&gt;935,'Исходные данные'!F13&lt;1085)),6,IF((AND('Исходные данные'!F13&gt;1085,'Исходные данные'!F13&lt;1235)),7,IF((AND('Исходные данные'!F13&gt;1235,'Исходные данные'!F13&lt;1385)),8,IF((AND('Исходные данные'!F13&gt;1385,'Исходные данные'!F13&lt;1535)),9,IF((AND('Исходные данные'!F13&gt;1535,'Исходные данные'!F13&lt;1685)),10,IF((AND('Исходные данные'!F13&gt;1685,'Исходные данные'!F13&lt;1835)),11,IF((AND('Исходные данные'!F13&gt;1835,'Исходные данные'!F13&lt;1985)),12,IF((AND('Исходные данные'!F13&gt;1985,'Исходные данные'!F13&lt;2135)),13,IF((AND('Исходные данные'!F13&gt;2135,'Исходные данные'!F13&lt;2285)),14,IF((AND('Исходные данные'!F13&gt;2285,'Исходные данные'!F13&lt;2435)),15,IF((AND('Исходные данные'!F13&gt;180,'Исходные данные'!F13&lt;315)),1,IF((AND('Исходные данные'!F13&gt;315,'Исходные данные'!F13&lt;485)),2,IF(('Исходные данные'!F13&lt;=180),1,0)))))))))))))))),IF(('Исходные данные'!T13=0),IF(((AND('Исходные данные'!F13&gt;=165,'Исходные данные'!F13&lt;301))),1,IF(((AND('Исходные данные'!F13&gt;=301,'Исходные данные'!F13&lt;441))),2,IF(((AND('Исходные данные'!F13&gt;=441,'Исходные данные'!F13&lt;581))),3,IF(((AND('Исходные данные'!F13&gt;=581,'Исходные данные'!F13&lt;721))),4,IF(((AND('Исходные данные'!F13&gt;=721,'Исходные данные'!F13&lt;861))),5,IF(((AND('Исходные данные'!F13&gt;=861,'Исходные данные'!F13&lt;1000))),6,IF(((AND('Исходные данные'!F13&gt;=1000,'Исходные данные'!F13&lt;1141))),7,IF(((AND('Исходные данные'!F13&gt;=1141,'Исходные данные'!F13&lt;1281))),8,IF(((AND('Исходные данные'!F13&gt;=1281,'Исходные данные'!F13&lt;1421))),9,IF(((AND('Исходные данные'!F13&gt;=1421,'Исходные данные'!F13&lt;1561))),10,IF(((AND('Исходные данные'!F13&gt;=1561,'Исходные данные'!F13&lt;1701))),11,IF(((AND('Исходные данные'!F13&gt;=1701,'Исходные данные'!F13&lt;1841))),12,IF(((AND('Исходные данные'!F13&gt;=1841,'Исходные данные'!F13&lt;1981))),13,IF(((AND('Исходные данные'!F13&gt;=1981,'Исходные данные'!F13&lt;2121))),14,IF(((AND('Исходные данные'!F13&gt;=2121,'Исходные данные'!F13&lt;2261))),15,IF(((AND('Исходные данные'!F13&gt;=2261,'Исходные данные'!F13&lt;2400))),16,IF(((AND('Исходные данные'!F13&gt;=2400,'Исходные данные'!F13&lt;2410))),17,"---"))))))))))))))))),IF('Исходные данные'!M13=4,IF((AND('Исходные данные'!F13&gt;485,'Исходные данные'!F13&lt;635)),3,IF((AND('Исходные данные'!F13&gt;635,'Исходные данные'!F13&lt;785)),4,IF((AND('Исходные данные'!F13&gt;785,'Исходные данные'!F13&lt;935)),5,IF((AND('Исходные данные'!F13&gt;935,'Исходные данные'!F13&lt;1085)),6,IF((AND('Исходные данные'!F13&gt;1085,'Исходные данные'!F13&lt;1235)),7,IF((AND('Исходные данные'!F13&gt;1235,'Исходные данные'!F13&lt;1385)),8,IF((AND('Исходные данные'!F13&gt;1385,'Исходные данные'!F13&lt;1535)),9,IF((AND('Исходные данные'!F13&gt;1535,'Исходные данные'!F13&lt;1685)),10,IF((AND('Исходные данные'!F13&gt;1685,'Исходные данные'!F13&lt;1835)),11,IF((AND('Исходные данные'!F13&gt;1835,'Исходные данные'!F13&lt;1985)),12,IF((AND('Исходные данные'!F13&gt;1985,'Исходные данные'!F13&lt;2135)),13,IF((AND('Исходные данные'!F13&gt;2135,'Исходные данные'!F13&lt;2285)),14,IF((AND('Исходные данные'!F13&gt;2285,'Исходные данные'!F13&lt;2435)),15,IF((AND('Исходные данные'!F13&gt;180,'Исходные данные'!F13&lt;315)),1,IF((AND('Исходные данные'!F13&gt;315,'Исходные данные'!F13&lt;485)),2,IF(('Исходные данные'!F13&lt;=180),1,0)))))))))))))))),IF(('Исходные данные'!T13=0),IF(((AND('Исходные данные'!F13&gt;=165,'Исходные данные'!F13&lt;301))),1,IF(((AND('Исходные данные'!F13&gt;=301,'Исходные данные'!F13&lt;441))),2,IF(((AND('Исходные данные'!F13&gt;=441,'Исходные данные'!F13&lt;581))),3,IF(((AND('Исходные данные'!F13&gt;=581,'Исходные данные'!F13&lt;721))),4,IF(((AND('Исходные данные'!F13&gt;=721,'Исходные данные'!F13&lt;861))),5,IF(((AND('Исходные данные'!F13&gt;=861,'Исходные данные'!F13&lt;1000))),6,IF(((AND('Исходные данные'!F13&gt;=1000,'Исходные данные'!F13&lt;1141))),7,IF(((AND('Исходные данные'!F13&gt;=1141,'Исходные данные'!F13&lt;1281))),8,IF(((AND('Исходные данные'!F13&gt;=1281,'Исходные данные'!F13&lt;1421))),9,IF(((AND('Исходные данные'!F13&gt;=1421,'Исходные данные'!F13&lt;1561))),10,IF(((AND('Исходные данные'!F13&gt;=1561,'Исходные данные'!F13&lt;1701))),11,IF(((AND('Исходные данные'!F13&gt;=1701,'Исходные данные'!F13&lt;1841))),12,IF(((AND('Исходные данные'!F13&gt;=1841,'Исходные данные'!F13&lt;1981))),13,IF(((AND('Исходные данные'!F13&gt;=1981,'Исходные данные'!F13&lt;2121))),14,IF(((AND('Исходные данные'!F13&gt;=2121,'Исходные данные'!F13&lt;2261))),15,IF(((AND('Исходные данные'!F13&gt;=2261,'Исходные данные'!F13&lt;2400))),16,IF(((AND('Исходные данные'!F13&gt;=2400,'Исходные данные'!F13&lt;2410))),17,"---"))))))))))))))))),"----"))))</f>
        <v>----</v>
      </c>
      <c r="AS15" s="363">
        <f t="shared" si="5"/>
        <v>0</v>
      </c>
      <c r="AT15" s="363">
        <f>AS15*'Исходные данные'!H13</f>
        <v>0</v>
      </c>
      <c r="AU15" s="363">
        <f>IF('Исходные данные'!I13&lt;=140,0.013,IF('Исходные данные'!I13&lt;=290,0.021,IF('Исходные данные'!I13&gt;=300,0.042,0)))</f>
        <v>4.2000000000000003E-2</v>
      </c>
      <c r="AV15" s="363">
        <f t="shared" si="6"/>
        <v>0</v>
      </c>
      <c r="AW15" s="365">
        <f t="shared" si="7"/>
        <v>0</v>
      </c>
      <c r="AX15" s="363"/>
      <c r="AY15" s="465">
        <f>IF(X15="комплект кожухов",'Исходные данные'!H13,0)</f>
        <v>0</v>
      </c>
      <c r="AZ15" s="465"/>
      <c r="BA15" s="359">
        <f t="shared" si="8"/>
        <v>0</v>
      </c>
      <c r="BB15">
        <f>'Исходные данные'!M13</f>
        <v>0</v>
      </c>
      <c r="BC15">
        <f>IF(BB15=1,IF('Исходные данные'!F13&lt;=1000,0.017*2,IF('Исходные данные'!F13&lt;=2000,0.022*2,IF('Исходные данные'!F13&gt;2000,0.028*2,0))),IF(BB15=2,IF('Исходные данные'!F13&lt;=1000,0.017*2,IF('Исходные данные'!F13&lt;=2000,0.022*2,IF('Исходные данные'!F13&gt;2000,0.028*2,0))),IF(BB15=3,IF('Исходные данные'!F13&lt;=1000,0.017*2,IF('Исходные данные'!F13&lt;=2000,0.022*2,IF('Исходные данные'!F13&gt;2000,0.028*2,0))),0)))</f>
        <v>0</v>
      </c>
      <c r="BD15" s="356">
        <f>BC15*'Исходные данные'!H13</f>
        <v>0</v>
      </c>
      <c r="BE15" s="18">
        <f>'Труматик гермики'!P14</f>
        <v>0</v>
      </c>
      <c r="BF15" s="18">
        <f t="shared" si="9"/>
        <v>0</v>
      </c>
      <c r="BG15">
        <f t="shared" si="10"/>
        <v>0</v>
      </c>
      <c r="BH15" s="356">
        <f>BG15*'Исходные данные'!H13</f>
        <v>0</v>
      </c>
      <c r="BI15">
        <f>IF(F15="Регуляр",IF(BB15=1,0.022*'Труматик гермики'!AB14,0),0)</f>
        <v>0</v>
      </c>
      <c r="BJ15" s="356">
        <f>BI15*'Исходные данные'!H13</f>
        <v>0</v>
      </c>
      <c r="BK15">
        <f t="shared" si="11"/>
        <v>0</v>
      </c>
      <c r="BL15">
        <f t="shared" si="12"/>
        <v>0</v>
      </c>
      <c r="BM15">
        <f>IF(BL15=3,0.006*2*'Исходные данные'!H13,IF(BL15=4,0.006*1.2*2*'Исходные данные'!H13,IF(BL15=5,IF('Исходные данные'!G13&lt;=290,0.006*2*'Исходные данные'!H13,0.012*2*'Исходные данные'!H13),IF(BL15=6,IF('Исходные данные'!G13&lt;=290,0.006*1.2*2*'Исходные данные'!H13,0.012*1.2*2*'Исходные данные'!H13),0))))</f>
        <v>0</v>
      </c>
      <c r="BN15">
        <f t="shared" si="13"/>
        <v>0</v>
      </c>
      <c r="BO15" s="359">
        <f t="shared" si="14"/>
        <v>0</v>
      </c>
      <c r="BP15">
        <f t="shared" si="15"/>
        <v>0</v>
      </c>
      <c r="BQ15">
        <f>IF(AH15="ОЦ",IF('Исходные данные'!F13&lt;=2000,0.012,IF('Исходные данные'!F13&gt;2000,0.018,0)),IF(AH15="нерж",IF('Исходные данные'!F13&lt;=2000,0.012*1.2,IF('Исходные данные'!F13&gt;2000,0.018*1.2,0)),0))</f>
        <v>0</v>
      </c>
      <c r="BR15" s="356">
        <f t="shared" si="16"/>
        <v>0</v>
      </c>
    </row>
    <row r="16" spans="1:70" ht="21.75" customHeight="1" thickBot="1">
      <c r="A16" s="482"/>
      <c r="B16" s="482"/>
      <c r="C16" s="510"/>
      <c r="D16" s="142" t="s">
        <v>255</v>
      </c>
      <c r="E16" s="178">
        <f>'Исходные данные'!B14</f>
        <v>0</v>
      </c>
      <c r="F16" s="157">
        <f>'Исходные данные'!C14</f>
        <v>0</v>
      </c>
      <c r="G16" s="157">
        <f>'Исходные данные'!D14</f>
        <v>0</v>
      </c>
      <c r="H16" s="157">
        <f>'Исходные данные'!F14</f>
        <v>0</v>
      </c>
      <c r="I16" s="157" t="str">
        <f>'Труматик гермики'!E15</f>
        <v>--</v>
      </c>
      <c r="J16" s="157">
        <f>'Исходные данные'!K14</f>
        <v>0</v>
      </c>
      <c r="K16" s="157">
        <f>'Исходные данные'!G14</f>
        <v>0</v>
      </c>
      <c r="L16" s="157" t="str">
        <f>'Труматик гермики'!E15</f>
        <v>--</v>
      </c>
      <c r="M16" s="157">
        <f>'Исходные данные'!K14</f>
        <v>0</v>
      </c>
      <c r="N16" s="157">
        <f>'Исходные данные'!H14</f>
        <v>0</v>
      </c>
      <c r="O16" s="159">
        <f>'Исходные данные'!F14</f>
        <v>0</v>
      </c>
      <c r="P16" s="159">
        <f>IF('Исходные данные'!H14&gt;0,'Исходные данные'!H14*2,0)</f>
        <v>0</v>
      </c>
      <c r="Q16" s="159">
        <f>'Исходные данные'!G14</f>
        <v>0</v>
      </c>
      <c r="R16" s="159">
        <f>IF('Исходные данные'!H14&gt;0,'Исходные данные'!H14*2,0)</f>
        <v>0</v>
      </c>
      <c r="S16" s="159">
        <f>'Исходные данные'!K14</f>
        <v>0</v>
      </c>
      <c r="T16" s="159" t="str">
        <f>'Задание на Trumpf'!S15</f>
        <v>---</v>
      </c>
      <c r="U16" s="159">
        <f>'Труматик гермики'!Q15</f>
        <v>0</v>
      </c>
      <c r="V16" s="159">
        <f>IF(U16="-----",0,'Задание на гибку'!U16*'Исходные данные'!H14)</f>
        <v>0</v>
      </c>
      <c r="W16" s="159" t="str">
        <f>IF('Исходные данные'!L14=1,"ОЦ",IF('Исходные данные'!L14=2,"нерж",IF('Исходные данные'!L14=3,"ОЦ",IF('Исходные данные'!L14=4,"ОЦ","---"))))</f>
        <v>---</v>
      </c>
      <c r="X16" s="507" t="str">
        <f>IF('Исходные данные'!M14=1,"Комплект кожухов","___")</f>
        <v>___</v>
      </c>
      <c r="Y16" s="507"/>
      <c r="Z16" s="213">
        <f>'Исходные данные'!K14</f>
        <v>0</v>
      </c>
      <c r="AA16" s="159" t="str">
        <f t="shared" si="0"/>
        <v>---</v>
      </c>
      <c r="AB16" s="213">
        <f>IF('Исходные данные'!M14=1,'Задание Ножницы лента'!I17,IF('Исходные данные'!M14=2,'Задание Ножницы лента'!I17,IF('Исходные данные'!M14=3,'Задание Ножницы лента'!I17,IF('Исходные данные'!M14=4,"---",))))</f>
        <v>0</v>
      </c>
      <c r="AC16" s="213" t="str">
        <f>'Задание Ножницы лента'!M17</f>
        <v>---</v>
      </c>
      <c r="AD16" s="159" t="str">
        <f>IF('Исходные данные'!M14=1,"ВГ 111.00.00.003",IF('Исходные данные'!M14=3,"ВГ 111.00.00.003",IF('Исходные данные'!M14=2,"ВГ 050.00.00.005",IF('Исходные данные'!M14=4,"ВГ 050.00.00.005","---"))))</f>
        <v>---</v>
      </c>
      <c r="AE16" s="159" t="str">
        <f>'Задание на Trumpf'!Y15</f>
        <v>---</v>
      </c>
      <c r="AF16" s="159" t="str">
        <f t="shared" si="1"/>
        <v>---</v>
      </c>
      <c r="AG16" s="368">
        <f>IF(AE16&gt;0,'Исходные данные'!H14*2,0)</f>
        <v>0</v>
      </c>
      <c r="AH16" s="369" t="str">
        <f t="shared" si="2"/>
        <v>---</v>
      </c>
      <c r="AI16" s="366">
        <f>'Исходные данные'!H14</f>
        <v>0</v>
      </c>
      <c r="AK16" s="509"/>
      <c r="AL16" s="506"/>
      <c r="AM16" s="506"/>
      <c r="AN16" s="364"/>
      <c r="AO16" s="356">
        <f t="shared" si="3"/>
        <v>0</v>
      </c>
      <c r="AP16" s="18"/>
      <c r="AQ16" s="356">
        <f t="shared" si="4"/>
        <v>0</v>
      </c>
      <c r="AR16" s="18" t="str">
        <f>IF('Исходные данные'!M14=2,IF((AND('Исходные данные'!F14&gt;485,'Исходные данные'!F14&lt;635)),3,IF((AND('Исходные данные'!F14&gt;635,'Исходные данные'!F14&lt;785)),4,IF((AND('Исходные данные'!F14&gt;785,'Исходные данные'!F14&lt;935)),5,IF((AND('Исходные данные'!F14&gt;935,'Исходные данные'!F14&lt;1085)),6,IF((AND('Исходные данные'!F14&gt;1085,'Исходные данные'!F14&lt;1235)),7,IF((AND('Исходные данные'!F14&gt;1235,'Исходные данные'!F14&lt;1385)),8,IF((AND('Исходные данные'!F14&gt;1385,'Исходные данные'!F14&lt;1535)),9,IF((AND('Исходные данные'!F14&gt;1535,'Исходные данные'!F14&lt;1685)),10,IF((AND('Исходные данные'!F14&gt;1685,'Исходные данные'!F14&lt;1835)),11,IF((AND('Исходные данные'!F14&gt;1835,'Исходные данные'!F14&lt;1985)),12,IF((AND('Исходные данные'!F14&gt;1985,'Исходные данные'!F14&lt;2135)),13,IF((AND('Исходные данные'!F14&gt;2135,'Исходные данные'!F14&lt;2285)),14,IF((AND('Исходные данные'!F14&gt;2285,'Исходные данные'!F14&lt;2435)),15,IF((AND('Исходные данные'!F14&gt;180,'Исходные данные'!F14&lt;315)),1,IF((AND('Исходные данные'!F14&gt;315,'Исходные данные'!F14&lt;485)),2,IF(('Исходные данные'!F14&lt;=180),1,0)))))))))))))))),IF(('Исходные данные'!T14=0),IF(((AND('Исходные данные'!F14&gt;=165,'Исходные данные'!F14&lt;301))),1,IF(((AND('Исходные данные'!F14&gt;=301,'Исходные данные'!F14&lt;441))),2,IF(((AND('Исходные данные'!F14&gt;=441,'Исходные данные'!F14&lt;581))),3,IF(((AND('Исходные данные'!F14&gt;=581,'Исходные данные'!F14&lt;721))),4,IF(((AND('Исходные данные'!F14&gt;=721,'Исходные данные'!F14&lt;861))),5,IF(((AND('Исходные данные'!F14&gt;=861,'Исходные данные'!F14&lt;1000))),6,IF(((AND('Исходные данные'!F14&gt;=1000,'Исходные данные'!F14&lt;1141))),7,IF(((AND('Исходные данные'!F14&gt;=1141,'Исходные данные'!F14&lt;1281))),8,IF(((AND('Исходные данные'!F14&gt;=1281,'Исходные данные'!F14&lt;1421))),9,IF(((AND('Исходные данные'!F14&gt;=1421,'Исходные данные'!F14&lt;1561))),10,IF(((AND('Исходные данные'!F14&gt;=1561,'Исходные данные'!F14&lt;1701))),11,IF(((AND('Исходные данные'!F14&gt;=1701,'Исходные данные'!F14&lt;1841))),12,IF(((AND('Исходные данные'!F14&gt;=1841,'Исходные данные'!F14&lt;1981))),13,IF(((AND('Исходные данные'!F14&gt;=1981,'Исходные данные'!F14&lt;2121))),14,IF(((AND('Исходные данные'!F14&gt;=2121,'Исходные данные'!F14&lt;2261))),15,IF(((AND('Исходные данные'!F14&gt;=2261,'Исходные данные'!F14&lt;2400))),16,IF(((AND('Исходные данные'!F14&gt;=2400,'Исходные данные'!F14&lt;2410))),17,"---"))))))))))))))))),IF('Исходные данные'!M14=4,IF((AND('Исходные данные'!F14&gt;485,'Исходные данные'!F14&lt;635)),3,IF((AND('Исходные данные'!F14&gt;635,'Исходные данные'!F14&lt;785)),4,IF((AND('Исходные данные'!F14&gt;785,'Исходные данные'!F14&lt;935)),5,IF((AND('Исходные данные'!F14&gt;935,'Исходные данные'!F14&lt;1085)),6,IF((AND('Исходные данные'!F14&gt;1085,'Исходные данные'!F14&lt;1235)),7,IF((AND('Исходные данные'!F14&gt;1235,'Исходные данные'!F14&lt;1385)),8,IF((AND('Исходные данные'!F14&gt;1385,'Исходные данные'!F14&lt;1535)),9,IF((AND('Исходные данные'!F14&gt;1535,'Исходные данные'!F14&lt;1685)),10,IF((AND('Исходные данные'!F14&gt;1685,'Исходные данные'!F14&lt;1835)),11,IF((AND('Исходные данные'!F14&gt;1835,'Исходные данные'!F14&lt;1985)),12,IF((AND('Исходные данные'!F14&gt;1985,'Исходные данные'!F14&lt;2135)),13,IF((AND('Исходные данные'!F14&gt;2135,'Исходные данные'!F14&lt;2285)),14,IF((AND('Исходные данные'!F14&gt;2285,'Исходные данные'!F14&lt;2435)),15,IF((AND('Исходные данные'!F14&gt;180,'Исходные данные'!F14&lt;315)),1,IF((AND('Исходные данные'!F14&gt;315,'Исходные данные'!F14&lt;485)),2,IF(('Исходные данные'!F14&lt;=180),1,0)))))))))))))))),IF(('Исходные данные'!T14=0),IF(((AND('Исходные данные'!F14&gt;=165,'Исходные данные'!F14&lt;301))),1,IF(((AND('Исходные данные'!F14&gt;=301,'Исходные данные'!F14&lt;441))),2,IF(((AND('Исходные данные'!F14&gt;=441,'Исходные данные'!F14&lt;581))),3,IF(((AND('Исходные данные'!F14&gt;=581,'Исходные данные'!F14&lt;721))),4,IF(((AND('Исходные данные'!F14&gt;=721,'Исходные данные'!F14&lt;861))),5,IF(((AND('Исходные данные'!F14&gt;=861,'Исходные данные'!F14&lt;1000))),6,IF(((AND('Исходные данные'!F14&gt;=1000,'Исходные данные'!F14&lt;1141))),7,IF(((AND('Исходные данные'!F14&gt;=1141,'Исходные данные'!F14&lt;1281))),8,IF(((AND('Исходные данные'!F14&gt;=1281,'Исходные данные'!F14&lt;1421))),9,IF(((AND('Исходные данные'!F14&gt;=1421,'Исходные данные'!F14&lt;1561))),10,IF(((AND('Исходные данные'!F14&gt;=1561,'Исходные данные'!F14&lt;1701))),11,IF(((AND('Исходные данные'!F14&gt;=1701,'Исходные данные'!F14&lt;1841))),12,IF(((AND('Исходные данные'!F14&gt;=1841,'Исходные данные'!F14&lt;1981))),13,IF(((AND('Исходные данные'!F14&gt;=1981,'Исходные данные'!F14&lt;2121))),14,IF(((AND('Исходные данные'!F14&gt;=2121,'Исходные данные'!F14&lt;2261))),15,IF(((AND('Исходные данные'!F14&gt;=2261,'Исходные данные'!F14&lt;2400))),16,IF(((AND('Исходные данные'!F14&gt;=2400,'Исходные данные'!F14&lt;2410))),17,"---"))))))))))))))))),"----"))))</f>
        <v>----</v>
      </c>
      <c r="AS16" s="363">
        <f t="shared" si="5"/>
        <v>0</v>
      </c>
      <c r="AT16" s="363">
        <f>AS16*'Исходные данные'!H14</f>
        <v>0</v>
      </c>
      <c r="AU16" s="363">
        <f>IF('Исходные данные'!I14&lt;=140,0.013,IF('Исходные данные'!I14&lt;=290,0.021,IF('Исходные данные'!I14&gt;=300,0.042,0)))</f>
        <v>4.2000000000000003E-2</v>
      </c>
      <c r="AV16" s="363">
        <f t="shared" si="6"/>
        <v>0</v>
      </c>
      <c r="AW16" s="365">
        <f t="shared" si="7"/>
        <v>0</v>
      </c>
      <c r="AX16" s="363"/>
      <c r="AY16" s="465">
        <f>IF(X16="комплект кожухов",'Исходные данные'!H14,0)</f>
        <v>0</v>
      </c>
      <c r="AZ16" s="465"/>
      <c r="BA16" s="359">
        <f t="shared" si="8"/>
        <v>0</v>
      </c>
      <c r="BB16">
        <f>'Исходные данные'!M14</f>
        <v>0</v>
      </c>
      <c r="BC16">
        <f>IF(BB16=1,IF('Исходные данные'!F14&lt;=1000,0.017*2,IF('Исходные данные'!F14&lt;=2000,0.022*2,IF('Исходные данные'!F14&gt;2000,0.028*2,0))),IF(BB16=2,IF('Исходные данные'!F14&lt;=1000,0.017*2,IF('Исходные данные'!F14&lt;=2000,0.022*2,IF('Исходные данные'!F14&gt;2000,0.028*2,0))),IF(BB16=3,IF('Исходные данные'!F14&lt;=1000,0.017*2,IF('Исходные данные'!F14&lt;=2000,0.022*2,IF('Исходные данные'!F14&gt;2000,0.028*2,0))),0)))</f>
        <v>0</v>
      </c>
      <c r="BD16" s="356">
        <f>BC16*'Исходные данные'!H14</f>
        <v>0</v>
      </c>
      <c r="BE16" s="18">
        <f>'Труматик гермики'!P15</f>
        <v>0</v>
      </c>
      <c r="BF16" s="18">
        <f t="shared" si="9"/>
        <v>0</v>
      </c>
      <c r="BG16">
        <f t="shared" si="10"/>
        <v>0</v>
      </c>
      <c r="BH16" s="356">
        <f>BG16*'Исходные данные'!H14</f>
        <v>0</v>
      </c>
      <c r="BI16">
        <f>IF(F16="Регуляр",IF(BB16=1,0.022*'Труматик гермики'!AB15,0),0)</f>
        <v>0</v>
      </c>
      <c r="BJ16" s="356">
        <f>BI16*'Исходные данные'!H14</f>
        <v>0</v>
      </c>
      <c r="BK16">
        <f t="shared" si="11"/>
        <v>0</v>
      </c>
      <c r="BL16">
        <f t="shared" si="12"/>
        <v>0</v>
      </c>
      <c r="BM16">
        <f>IF(BL16=3,0.006*2*'Исходные данные'!H14,IF(BL16=4,0.006*1.2*2*'Исходные данные'!H14,IF(BL16=5,IF('Исходные данные'!G14&lt;=290,0.006*2*'Исходные данные'!H14,0.012*2*'Исходные данные'!H14),IF(BL16=6,IF('Исходные данные'!G14&lt;=290,0.006*1.2*2*'Исходные данные'!H14,0.012*1.2*2*'Исходные данные'!H14),0))))</f>
        <v>0</v>
      </c>
      <c r="BN16">
        <f t="shared" si="13"/>
        <v>0</v>
      </c>
      <c r="BO16" s="359">
        <f t="shared" si="14"/>
        <v>0</v>
      </c>
      <c r="BP16">
        <f t="shared" si="15"/>
        <v>0</v>
      </c>
      <c r="BQ16">
        <f>IF(AH16="ОЦ",IF('Исходные данные'!F14&lt;=2000,0.012,IF('Исходные данные'!F14&gt;2000,0.018,0)),IF(AH16="нерж",IF('Исходные данные'!F14&lt;=2000,0.012*1.2,IF('Исходные данные'!F14&gt;2000,0.018*1.2,0)),0))</f>
        <v>0</v>
      </c>
      <c r="BR16" s="356">
        <f t="shared" si="16"/>
        <v>0</v>
      </c>
    </row>
    <row r="17" spans="1:70" ht="21.75" customHeight="1" thickBot="1">
      <c r="A17" s="482"/>
      <c r="B17" s="482"/>
      <c r="C17" s="510"/>
      <c r="D17" s="142" t="s">
        <v>256</v>
      </c>
      <c r="E17" s="178">
        <f>'Исходные данные'!B15</f>
        <v>0</v>
      </c>
      <c r="F17" s="157">
        <f>'Исходные данные'!C15</f>
        <v>0</v>
      </c>
      <c r="G17" s="157">
        <f>'Исходные данные'!D15</f>
        <v>0</v>
      </c>
      <c r="H17" s="157">
        <f>'Исходные данные'!F15</f>
        <v>0</v>
      </c>
      <c r="I17" s="157" t="str">
        <f>'Труматик гермики'!E16</f>
        <v>--</v>
      </c>
      <c r="J17" s="157">
        <f>'Исходные данные'!K15</f>
        <v>0</v>
      </c>
      <c r="K17" s="157">
        <f>'Исходные данные'!G15</f>
        <v>0</v>
      </c>
      <c r="L17" s="157" t="str">
        <f>'Труматик гермики'!E16</f>
        <v>--</v>
      </c>
      <c r="M17" s="157">
        <f>'Исходные данные'!K15</f>
        <v>0</v>
      </c>
      <c r="N17" s="157">
        <f>'Исходные данные'!H15</f>
        <v>0</v>
      </c>
      <c r="O17" s="159">
        <f>'Исходные данные'!F15</f>
        <v>0</v>
      </c>
      <c r="P17" s="159">
        <f>IF('Исходные данные'!H15&gt;0,'Исходные данные'!H15*2,0)</f>
        <v>0</v>
      </c>
      <c r="Q17" s="159">
        <f>'Исходные данные'!G15</f>
        <v>0</v>
      </c>
      <c r="R17" s="159">
        <f>IF('Исходные данные'!H15&gt;0,'Исходные данные'!H15*2,0)</f>
        <v>0</v>
      </c>
      <c r="S17" s="159">
        <f>'Исходные данные'!K15</f>
        <v>0</v>
      </c>
      <c r="T17" s="159" t="str">
        <f>'Задание на Trumpf'!S16</f>
        <v>---</v>
      </c>
      <c r="U17" s="159">
        <f>'Труматик гермики'!Q16</f>
        <v>0</v>
      </c>
      <c r="V17" s="159">
        <f>IF(U17="-----",0,'Задание на гибку'!U17*'Исходные данные'!H15)</f>
        <v>0</v>
      </c>
      <c r="W17" s="159" t="str">
        <f>IF('Исходные данные'!L15=1,"ОЦ",IF('Исходные данные'!L15=2,"нерж",IF('Исходные данные'!L15=3,"ОЦ",IF('Исходные данные'!L15=4,"ОЦ","---"))))</f>
        <v>---</v>
      </c>
      <c r="X17" s="507" t="str">
        <f>IF('Исходные данные'!M15=1,"Комплект кожухов","___")</f>
        <v>___</v>
      </c>
      <c r="Y17" s="507"/>
      <c r="Z17" s="213">
        <f>'Исходные данные'!K15</f>
        <v>0</v>
      </c>
      <c r="AA17" s="159" t="str">
        <f t="shared" si="0"/>
        <v>---</v>
      </c>
      <c r="AB17" s="213">
        <f>IF('Исходные данные'!M15=1,'Задание Ножницы лента'!I18,IF('Исходные данные'!M15=2,'Задание Ножницы лента'!I18,IF('Исходные данные'!M15=3,'Задание Ножницы лента'!I18,IF('Исходные данные'!M15=4,"---",))))</f>
        <v>0</v>
      </c>
      <c r="AC17" s="213" t="str">
        <f>'Задание Ножницы лента'!M18</f>
        <v>---</v>
      </c>
      <c r="AD17" s="159" t="str">
        <f>IF('Исходные данные'!M15=1,"ВГ 111.00.00.003",IF('Исходные данные'!M15=3,"ВГ 111.00.00.003",IF('Исходные данные'!M15=2,"ВГ 050.00.00.005",IF('Исходные данные'!M15=4,"ВГ 050.00.00.005","---"))))</f>
        <v>---</v>
      </c>
      <c r="AE17" s="159" t="str">
        <f>'Задание на Trumpf'!Y16</f>
        <v>---</v>
      </c>
      <c r="AF17" s="159" t="str">
        <f t="shared" si="1"/>
        <v>---</v>
      </c>
      <c r="AG17" s="368">
        <f>IF(AE17&gt;0,'Исходные данные'!H15*2,0)</f>
        <v>0</v>
      </c>
      <c r="AH17" s="369" t="str">
        <f t="shared" si="2"/>
        <v>---</v>
      </c>
      <c r="AI17" s="366">
        <f>'Исходные данные'!H15</f>
        <v>0</v>
      </c>
      <c r="AJ17" s="508" t="s">
        <v>263</v>
      </c>
      <c r="AK17" s="509"/>
      <c r="AL17" s="506"/>
      <c r="AM17" s="506"/>
      <c r="AN17" s="364"/>
      <c r="AO17" s="356">
        <f t="shared" si="3"/>
        <v>0</v>
      </c>
      <c r="AP17" s="18"/>
      <c r="AQ17" s="356">
        <f t="shared" si="4"/>
        <v>0</v>
      </c>
      <c r="AR17" s="18" t="str">
        <f>IF('Исходные данные'!M15=2,IF((AND('Исходные данные'!F15&gt;485,'Исходные данные'!F15&lt;635)),3,IF((AND('Исходные данные'!F15&gt;635,'Исходные данные'!F15&lt;785)),4,IF((AND('Исходные данные'!F15&gt;785,'Исходные данные'!F15&lt;935)),5,IF((AND('Исходные данные'!F15&gt;935,'Исходные данные'!F15&lt;1085)),6,IF((AND('Исходные данные'!F15&gt;1085,'Исходные данные'!F15&lt;1235)),7,IF((AND('Исходные данные'!F15&gt;1235,'Исходные данные'!F15&lt;1385)),8,IF((AND('Исходные данные'!F15&gt;1385,'Исходные данные'!F15&lt;1535)),9,IF((AND('Исходные данные'!F15&gt;1535,'Исходные данные'!F15&lt;1685)),10,IF((AND('Исходные данные'!F15&gt;1685,'Исходные данные'!F15&lt;1835)),11,IF((AND('Исходные данные'!F15&gt;1835,'Исходные данные'!F15&lt;1985)),12,IF((AND('Исходные данные'!F15&gt;1985,'Исходные данные'!F15&lt;2135)),13,IF((AND('Исходные данные'!F15&gt;2135,'Исходные данные'!F15&lt;2285)),14,IF((AND('Исходные данные'!F15&gt;2285,'Исходные данные'!F15&lt;2435)),15,IF((AND('Исходные данные'!F15&gt;180,'Исходные данные'!F15&lt;315)),1,IF((AND('Исходные данные'!F15&gt;315,'Исходные данные'!F15&lt;485)),2,IF(('Исходные данные'!F15&lt;=180),1,0)))))))))))))))),IF(('Исходные данные'!T15=0),IF(((AND('Исходные данные'!F15&gt;=165,'Исходные данные'!F15&lt;301))),1,IF(((AND('Исходные данные'!F15&gt;=301,'Исходные данные'!F15&lt;441))),2,IF(((AND('Исходные данные'!F15&gt;=441,'Исходные данные'!F15&lt;581))),3,IF(((AND('Исходные данные'!F15&gt;=581,'Исходные данные'!F15&lt;721))),4,IF(((AND('Исходные данные'!F15&gt;=721,'Исходные данные'!F15&lt;861))),5,IF(((AND('Исходные данные'!F15&gt;=861,'Исходные данные'!F15&lt;1000))),6,IF(((AND('Исходные данные'!F15&gt;=1000,'Исходные данные'!F15&lt;1141))),7,IF(((AND('Исходные данные'!F15&gt;=1141,'Исходные данные'!F15&lt;1281))),8,IF(((AND('Исходные данные'!F15&gt;=1281,'Исходные данные'!F15&lt;1421))),9,IF(((AND('Исходные данные'!F15&gt;=1421,'Исходные данные'!F15&lt;1561))),10,IF(((AND('Исходные данные'!F15&gt;=1561,'Исходные данные'!F15&lt;1701))),11,IF(((AND('Исходные данные'!F15&gt;=1701,'Исходные данные'!F15&lt;1841))),12,IF(((AND('Исходные данные'!F15&gt;=1841,'Исходные данные'!F15&lt;1981))),13,IF(((AND('Исходные данные'!F15&gt;=1981,'Исходные данные'!F15&lt;2121))),14,IF(((AND('Исходные данные'!F15&gt;=2121,'Исходные данные'!F15&lt;2261))),15,IF(((AND('Исходные данные'!F15&gt;=2261,'Исходные данные'!F15&lt;2400))),16,IF(((AND('Исходные данные'!F15&gt;=2400,'Исходные данные'!F15&lt;2410))),17,"---"))))))))))))))))),IF('Исходные данные'!M15=4,IF((AND('Исходные данные'!F15&gt;485,'Исходные данные'!F15&lt;635)),3,IF((AND('Исходные данные'!F15&gt;635,'Исходные данные'!F15&lt;785)),4,IF((AND('Исходные данные'!F15&gt;785,'Исходные данные'!F15&lt;935)),5,IF((AND('Исходные данные'!F15&gt;935,'Исходные данные'!F15&lt;1085)),6,IF((AND('Исходные данные'!F15&gt;1085,'Исходные данные'!F15&lt;1235)),7,IF((AND('Исходные данные'!F15&gt;1235,'Исходные данные'!F15&lt;1385)),8,IF((AND('Исходные данные'!F15&gt;1385,'Исходные данные'!F15&lt;1535)),9,IF((AND('Исходные данные'!F15&gt;1535,'Исходные данные'!F15&lt;1685)),10,IF((AND('Исходные данные'!F15&gt;1685,'Исходные данные'!F15&lt;1835)),11,IF((AND('Исходные данные'!F15&gt;1835,'Исходные данные'!F15&lt;1985)),12,IF((AND('Исходные данные'!F15&gt;1985,'Исходные данные'!F15&lt;2135)),13,IF((AND('Исходные данные'!F15&gt;2135,'Исходные данные'!F15&lt;2285)),14,IF((AND('Исходные данные'!F15&gt;2285,'Исходные данные'!F15&lt;2435)),15,IF((AND('Исходные данные'!F15&gt;180,'Исходные данные'!F15&lt;315)),1,IF((AND('Исходные данные'!F15&gt;315,'Исходные данные'!F15&lt;485)),2,IF(('Исходные данные'!F15&lt;=180),1,0)))))))))))))))),IF(('Исходные данные'!T15=0),IF(((AND('Исходные данные'!F15&gt;=165,'Исходные данные'!F15&lt;301))),1,IF(((AND('Исходные данные'!F15&gt;=301,'Исходные данные'!F15&lt;441))),2,IF(((AND('Исходные данные'!F15&gt;=441,'Исходные данные'!F15&lt;581))),3,IF(((AND('Исходные данные'!F15&gt;=581,'Исходные данные'!F15&lt;721))),4,IF(((AND('Исходные данные'!F15&gt;=721,'Исходные данные'!F15&lt;861))),5,IF(((AND('Исходные данные'!F15&gt;=861,'Исходные данные'!F15&lt;1000))),6,IF(((AND('Исходные данные'!F15&gt;=1000,'Исходные данные'!F15&lt;1141))),7,IF(((AND('Исходные данные'!F15&gt;=1141,'Исходные данные'!F15&lt;1281))),8,IF(((AND('Исходные данные'!F15&gt;=1281,'Исходные данные'!F15&lt;1421))),9,IF(((AND('Исходные данные'!F15&gt;=1421,'Исходные данные'!F15&lt;1561))),10,IF(((AND('Исходные данные'!F15&gt;=1561,'Исходные данные'!F15&lt;1701))),11,IF(((AND('Исходные данные'!F15&gt;=1701,'Исходные данные'!F15&lt;1841))),12,IF(((AND('Исходные данные'!F15&gt;=1841,'Исходные данные'!F15&lt;1981))),13,IF(((AND('Исходные данные'!F15&gt;=1981,'Исходные данные'!F15&lt;2121))),14,IF(((AND('Исходные данные'!F15&gt;=2121,'Исходные данные'!F15&lt;2261))),15,IF(((AND('Исходные данные'!F15&gt;=2261,'Исходные данные'!F15&lt;2400))),16,IF(((AND('Исходные данные'!F15&gt;=2400,'Исходные данные'!F15&lt;2410))),17,"---"))))))))))))))))),"----"))))</f>
        <v>----</v>
      </c>
      <c r="AS17" s="363">
        <f t="shared" si="5"/>
        <v>0</v>
      </c>
      <c r="AT17" s="363">
        <f>AS17*'Исходные данные'!H15</f>
        <v>0</v>
      </c>
      <c r="AU17" s="363">
        <f>IF('Исходные данные'!I15&lt;=140,0.013,IF('Исходные данные'!I15&lt;=290,0.021,IF('Исходные данные'!I15&gt;=300,0.042,0)))</f>
        <v>4.2000000000000003E-2</v>
      </c>
      <c r="AV17" s="363">
        <f t="shared" si="6"/>
        <v>0</v>
      </c>
      <c r="AW17" s="365">
        <f t="shared" si="7"/>
        <v>0</v>
      </c>
      <c r="AX17" s="363"/>
      <c r="AY17" s="465">
        <f>IF(X17="комплект кожухов",'Исходные данные'!H15,0)</f>
        <v>0</v>
      </c>
      <c r="AZ17" s="465"/>
      <c r="BA17" s="359">
        <f t="shared" si="8"/>
        <v>0</v>
      </c>
      <c r="BB17">
        <f>'Исходные данные'!M15</f>
        <v>0</v>
      </c>
      <c r="BC17">
        <f>IF(BB17=1,IF('Исходные данные'!F15&lt;=1000,0.017*2,IF('Исходные данные'!F15&lt;=2000,0.022*2,IF('Исходные данные'!F15&gt;2000,0.028*2,0))),IF(BB17=2,IF('Исходные данные'!F15&lt;=1000,0.017*2,IF('Исходные данные'!F15&lt;=2000,0.022*2,IF('Исходные данные'!F15&gt;2000,0.028*2,0))),IF(BB17=3,IF('Исходные данные'!F15&lt;=1000,0.017*2,IF('Исходные данные'!F15&lt;=2000,0.022*2,IF('Исходные данные'!F15&gt;2000,0.028*2,0))),0)))</f>
        <v>0</v>
      </c>
      <c r="BD17" s="356">
        <f>BC17*'Исходные данные'!H15</f>
        <v>0</v>
      </c>
      <c r="BE17" s="18">
        <f>'Труматик гермики'!P16</f>
        <v>0</v>
      </c>
      <c r="BF17" s="18">
        <f t="shared" si="9"/>
        <v>0</v>
      </c>
      <c r="BG17">
        <f t="shared" si="10"/>
        <v>0</v>
      </c>
      <c r="BH17" s="356">
        <f>BG17*'Исходные данные'!H15</f>
        <v>0</v>
      </c>
      <c r="BI17">
        <f>IF(F17="Регуляр",IF(BB17=1,0.022*'Труматик гермики'!AB16,0),0)</f>
        <v>0</v>
      </c>
      <c r="BJ17" s="356">
        <f>BI17*'Исходные данные'!H15</f>
        <v>0</v>
      </c>
      <c r="BK17">
        <f t="shared" si="11"/>
        <v>0</v>
      </c>
      <c r="BL17">
        <f t="shared" si="12"/>
        <v>0</v>
      </c>
      <c r="BM17">
        <f>IF(BL17=3,0.006*2*'Исходные данные'!H15,IF(BL17=4,0.006*1.2*2*'Исходные данные'!H15,IF(BL17=5,IF('Исходные данные'!G15&lt;=290,0.006*2*'Исходные данные'!H15,0.012*2*'Исходные данные'!H15),IF(BL17=6,IF('Исходные данные'!G15&lt;=290,0.006*1.2*2*'Исходные данные'!H15,0.012*1.2*2*'Исходные данные'!H15),0))))</f>
        <v>0</v>
      </c>
      <c r="BN17">
        <f t="shared" si="13"/>
        <v>0</v>
      </c>
      <c r="BO17" s="359">
        <f t="shared" si="14"/>
        <v>0</v>
      </c>
      <c r="BP17">
        <f t="shared" si="15"/>
        <v>0</v>
      </c>
      <c r="BQ17">
        <f>IF(AH17="ОЦ",IF('Исходные данные'!F15&lt;=2000,0.012,IF('Исходные данные'!F15&gt;2000,0.018,0)),IF(AH17="нерж",IF('Исходные данные'!F15&lt;=2000,0.012*1.2,IF('Исходные данные'!F15&gt;2000,0.018*1.2,0)),0))</f>
        <v>0</v>
      </c>
      <c r="BR17" s="356">
        <f t="shared" si="16"/>
        <v>0</v>
      </c>
    </row>
    <row r="18" spans="1:70" ht="21.75" customHeight="1" thickBot="1">
      <c r="A18" s="482"/>
      <c r="B18" s="482"/>
      <c r="C18" s="510"/>
      <c r="D18" s="142" t="s">
        <v>257</v>
      </c>
      <c r="E18" s="178">
        <f>'Исходные данные'!B16</f>
        <v>0</v>
      </c>
      <c r="F18" s="157">
        <f>'Исходные данные'!C16</f>
        <v>0</v>
      </c>
      <c r="G18" s="157">
        <f>'Исходные данные'!D16</f>
        <v>0</v>
      </c>
      <c r="H18" s="157">
        <f>'Исходные данные'!F16</f>
        <v>0</v>
      </c>
      <c r="I18" s="157" t="str">
        <f>'Труматик гермики'!E17</f>
        <v>--</v>
      </c>
      <c r="J18" s="157">
        <f>'Исходные данные'!K16</f>
        <v>0</v>
      </c>
      <c r="K18" s="157">
        <f>'Исходные данные'!G16</f>
        <v>0</v>
      </c>
      <c r="L18" s="157" t="str">
        <f>'Труматик гермики'!E17</f>
        <v>--</v>
      </c>
      <c r="M18" s="157">
        <f>'Исходные данные'!K16</f>
        <v>0</v>
      </c>
      <c r="N18" s="157">
        <f>'Исходные данные'!H16</f>
        <v>0</v>
      </c>
      <c r="O18" s="159">
        <f>'Исходные данные'!F16</f>
        <v>0</v>
      </c>
      <c r="P18" s="159">
        <f>IF('Исходные данные'!H16&gt;0,'Исходные данные'!H16*2,0)</f>
        <v>0</v>
      </c>
      <c r="Q18" s="159">
        <f>'Исходные данные'!G16</f>
        <v>0</v>
      </c>
      <c r="R18" s="159">
        <f>IF('Исходные данные'!H16&gt;0,'Исходные данные'!H16*2,0)</f>
        <v>0</v>
      </c>
      <c r="S18" s="159">
        <f>'Исходные данные'!K16</f>
        <v>0</v>
      </c>
      <c r="T18" s="159" t="str">
        <f>'Задание на Trumpf'!S17</f>
        <v>---</v>
      </c>
      <c r="U18" s="159">
        <f>'Труматик гермики'!Q17</f>
        <v>0</v>
      </c>
      <c r="V18" s="159">
        <f>IF(U18="-----",0,'Задание на гибку'!U18*'Исходные данные'!H16)</f>
        <v>0</v>
      </c>
      <c r="W18" s="159" t="str">
        <f>IF('Исходные данные'!L16=1,"ОЦ",IF('Исходные данные'!L16=2,"нерж",IF('Исходные данные'!L16=3,"ОЦ",IF('Исходные данные'!L16=4,"ОЦ","---"))))</f>
        <v>---</v>
      </c>
      <c r="X18" s="507" t="str">
        <f>IF('Исходные данные'!M16=1,"Комплект кожухов","___")</f>
        <v>___</v>
      </c>
      <c r="Y18" s="507"/>
      <c r="Z18" s="213">
        <f>'Исходные данные'!K16</f>
        <v>0</v>
      </c>
      <c r="AA18" s="159" t="str">
        <f t="shared" si="0"/>
        <v>---</v>
      </c>
      <c r="AB18" s="213">
        <f>IF('Исходные данные'!M16=1,'Задание Ножницы лента'!I19,IF('Исходные данные'!M16=2,'Задание Ножницы лента'!I19,IF('Исходные данные'!M16=3,'Задание Ножницы лента'!I19,IF('Исходные данные'!M16=4,"---",))))</f>
        <v>0</v>
      </c>
      <c r="AC18" s="213" t="str">
        <f>'Задание Ножницы лента'!M19</f>
        <v>---</v>
      </c>
      <c r="AD18" s="159" t="str">
        <f>IF('Исходные данные'!M16=1,"ВГ 111.00.00.003",IF('Исходные данные'!M16=3,"ВГ 111.00.00.003",IF('Исходные данные'!M16=2,"ВГ 050.00.00.005",IF('Исходные данные'!M16=4,"ВГ 050.00.00.005","---"))))</f>
        <v>---</v>
      </c>
      <c r="AE18" s="159" t="str">
        <f>'Задание на Trumpf'!Y17</f>
        <v>---</v>
      </c>
      <c r="AF18" s="159" t="str">
        <f t="shared" si="1"/>
        <v>---</v>
      </c>
      <c r="AG18" s="368">
        <f>IF(AE18&gt;0,'Исходные данные'!H16*2,0)</f>
        <v>0</v>
      </c>
      <c r="AH18" s="369" t="str">
        <f t="shared" si="2"/>
        <v>---</v>
      </c>
      <c r="AI18" s="366">
        <f>'Исходные данные'!H16</f>
        <v>0</v>
      </c>
      <c r="AJ18" s="508"/>
      <c r="AK18" s="509"/>
      <c r="AL18" s="506"/>
      <c r="AM18" s="506"/>
      <c r="AN18" s="364"/>
      <c r="AO18" s="356">
        <f t="shared" si="3"/>
        <v>0</v>
      </c>
      <c r="AP18" s="18"/>
      <c r="AQ18" s="356">
        <f t="shared" si="4"/>
        <v>0</v>
      </c>
      <c r="AR18" s="18" t="str">
        <f>IF('Исходные данные'!M16=2,IF((AND('Исходные данные'!F16&gt;485,'Исходные данные'!F16&lt;635)),3,IF((AND('Исходные данные'!F16&gt;635,'Исходные данные'!F16&lt;785)),4,IF((AND('Исходные данные'!F16&gt;785,'Исходные данные'!F16&lt;935)),5,IF((AND('Исходные данные'!F16&gt;935,'Исходные данные'!F16&lt;1085)),6,IF((AND('Исходные данные'!F16&gt;1085,'Исходные данные'!F16&lt;1235)),7,IF((AND('Исходные данные'!F16&gt;1235,'Исходные данные'!F16&lt;1385)),8,IF((AND('Исходные данные'!F16&gt;1385,'Исходные данные'!F16&lt;1535)),9,IF((AND('Исходные данные'!F16&gt;1535,'Исходные данные'!F16&lt;1685)),10,IF((AND('Исходные данные'!F16&gt;1685,'Исходные данные'!F16&lt;1835)),11,IF((AND('Исходные данные'!F16&gt;1835,'Исходные данные'!F16&lt;1985)),12,IF((AND('Исходные данные'!F16&gt;1985,'Исходные данные'!F16&lt;2135)),13,IF((AND('Исходные данные'!F16&gt;2135,'Исходные данные'!F16&lt;2285)),14,IF((AND('Исходные данные'!F16&gt;2285,'Исходные данные'!F16&lt;2435)),15,IF((AND('Исходные данные'!F16&gt;180,'Исходные данные'!F16&lt;315)),1,IF((AND('Исходные данные'!F16&gt;315,'Исходные данные'!F16&lt;485)),2,IF(('Исходные данные'!F16&lt;=180),1,0)))))))))))))))),IF(('Исходные данные'!T16=0),IF(((AND('Исходные данные'!F16&gt;=165,'Исходные данные'!F16&lt;301))),1,IF(((AND('Исходные данные'!F16&gt;=301,'Исходные данные'!F16&lt;441))),2,IF(((AND('Исходные данные'!F16&gt;=441,'Исходные данные'!F16&lt;581))),3,IF(((AND('Исходные данные'!F16&gt;=581,'Исходные данные'!F16&lt;721))),4,IF(((AND('Исходные данные'!F16&gt;=721,'Исходные данные'!F16&lt;861))),5,IF(((AND('Исходные данные'!F16&gt;=861,'Исходные данные'!F16&lt;1000))),6,IF(((AND('Исходные данные'!F16&gt;=1000,'Исходные данные'!F16&lt;1141))),7,IF(((AND('Исходные данные'!F16&gt;=1141,'Исходные данные'!F16&lt;1281))),8,IF(((AND('Исходные данные'!F16&gt;=1281,'Исходные данные'!F16&lt;1421))),9,IF(((AND('Исходные данные'!F16&gt;=1421,'Исходные данные'!F16&lt;1561))),10,IF(((AND('Исходные данные'!F16&gt;=1561,'Исходные данные'!F16&lt;1701))),11,IF(((AND('Исходные данные'!F16&gt;=1701,'Исходные данные'!F16&lt;1841))),12,IF(((AND('Исходные данные'!F16&gt;=1841,'Исходные данные'!F16&lt;1981))),13,IF(((AND('Исходные данные'!F16&gt;=1981,'Исходные данные'!F16&lt;2121))),14,IF(((AND('Исходные данные'!F16&gt;=2121,'Исходные данные'!F16&lt;2261))),15,IF(((AND('Исходные данные'!F16&gt;=2261,'Исходные данные'!F16&lt;2400))),16,IF(((AND('Исходные данные'!F16&gt;=2400,'Исходные данные'!F16&lt;2410))),17,"---"))))))))))))))))),IF('Исходные данные'!M16=4,IF((AND('Исходные данные'!F16&gt;485,'Исходные данные'!F16&lt;635)),3,IF((AND('Исходные данные'!F16&gt;635,'Исходные данные'!F16&lt;785)),4,IF((AND('Исходные данные'!F16&gt;785,'Исходные данные'!F16&lt;935)),5,IF((AND('Исходные данные'!F16&gt;935,'Исходные данные'!F16&lt;1085)),6,IF((AND('Исходные данные'!F16&gt;1085,'Исходные данные'!F16&lt;1235)),7,IF((AND('Исходные данные'!F16&gt;1235,'Исходные данные'!F16&lt;1385)),8,IF((AND('Исходные данные'!F16&gt;1385,'Исходные данные'!F16&lt;1535)),9,IF((AND('Исходные данные'!F16&gt;1535,'Исходные данные'!F16&lt;1685)),10,IF((AND('Исходные данные'!F16&gt;1685,'Исходные данные'!F16&lt;1835)),11,IF((AND('Исходные данные'!F16&gt;1835,'Исходные данные'!F16&lt;1985)),12,IF((AND('Исходные данные'!F16&gt;1985,'Исходные данные'!F16&lt;2135)),13,IF((AND('Исходные данные'!F16&gt;2135,'Исходные данные'!F16&lt;2285)),14,IF((AND('Исходные данные'!F16&gt;2285,'Исходные данные'!F16&lt;2435)),15,IF((AND('Исходные данные'!F16&gt;180,'Исходные данные'!F16&lt;315)),1,IF((AND('Исходные данные'!F16&gt;315,'Исходные данные'!F16&lt;485)),2,IF(('Исходные данные'!F16&lt;=180),1,0)))))))))))))))),IF(('Исходные данные'!T16=0),IF(((AND('Исходные данные'!F16&gt;=165,'Исходные данные'!F16&lt;301))),1,IF(((AND('Исходные данные'!F16&gt;=301,'Исходные данные'!F16&lt;441))),2,IF(((AND('Исходные данные'!F16&gt;=441,'Исходные данные'!F16&lt;581))),3,IF(((AND('Исходные данные'!F16&gt;=581,'Исходные данные'!F16&lt;721))),4,IF(((AND('Исходные данные'!F16&gt;=721,'Исходные данные'!F16&lt;861))),5,IF(((AND('Исходные данные'!F16&gt;=861,'Исходные данные'!F16&lt;1000))),6,IF(((AND('Исходные данные'!F16&gt;=1000,'Исходные данные'!F16&lt;1141))),7,IF(((AND('Исходные данные'!F16&gt;=1141,'Исходные данные'!F16&lt;1281))),8,IF(((AND('Исходные данные'!F16&gt;=1281,'Исходные данные'!F16&lt;1421))),9,IF(((AND('Исходные данные'!F16&gt;=1421,'Исходные данные'!F16&lt;1561))),10,IF(((AND('Исходные данные'!F16&gt;=1561,'Исходные данные'!F16&lt;1701))),11,IF(((AND('Исходные данные'!F16&gt;=1701,'Исходные данные'!F16&lt;1841))),12,IF(((AND('Исходные данные'!F16&gt;=1841,'Исходные данные'!F16&lt;1981))),13,IF(((AND('Исходные данные'!F16&gt;=1981,'Исходные данные'!F16&lt;2121))),14,IF(((AND('Исходные данные'!F16&gt;=2121,'Исходные данные'!F16&lt;2261))),15,IF(((AND('Исходные данные'!F16&gt;=2261,'Исходные данные'!F16&lt;2400))),16,IF(((AND('Исходные данные'!F16&gt;=2400,'Исходные данные'!F16&lt;2410))),17,"---"))))))))))))))))),"----"))))</f>
        <v>----</v>
      </c>
      <c r="AS18" s="363">
        <f t="shared" si="5"/>
        <v>0</v>
      </c>
      <c r="AT18" s="363">
        <f>AS18*'Исходные данные'!H16</f>
        <v>0</v>
      </c>
      <c r="AU18" s="363">
        <f>IF('Исходные данные'!I16&lt;=140,0.013,IF('Исходные данные'!I16&lt;=290,0.021,IF('Исходные данные'!I16&gt;=300,0.042,0)))</f>
        <v>4.2000000000000003E-2</v>
      </c>
      <c r="AV18" s="363">
        <f t="shared" si="6"/>
        <v>0</v>
      </c>
      <c r="AW18" s="365">
        <f t="shared" si="7"/>
        <v>0</v>
      </c>
      <c r="AX18" s="363"/>
      <c r="AY18" s="465">
        <f>IF(X18="комплект кожухов",'Исходные данные'!H16,0)</f>
        <v>0</v>
      </c>
      <c r="AZ18" s="465"/>
      <c r="BA18" s="359">
        <f t="shared" si="8"/>
        <v>0</v>
      </c>
      <c r="BB18">
        <f>'Исходные данные'!M16</f>
        <v>0</v>
      </c>
      <c r="BC18">
        <f>IF(BB18=1,IF('Исходные данные'!F16&lt;=1000,0.017*2,IF('Исходные данные'!F16&lt;=2000,0.022*2,IF('Исходные данные'!F16&gt;2000,0.028*2,0))),IF(BB18=2,IF('Исходные данные'!F16&lt;=1000,0.017*2,IF('Исходные данные'!F16&lt;=2000,0.022*2,IF('Исходные данные'!F16&gt;2000,0.028*2,0))),IF(BB18=3,IF('Исходные данные'!F16&lt;=1000,0.017*2,IF('Исходные данные'!F16&lt;=2000,0.022*2,IF('Исходные данные'!F16&gt;2000,0.028*2,0))),0)))</f>
        <v>0</v>
      </c>
      <c r="BD18" s="356">
        <f>BC18*'Исходные данные'!H16</f>
        <v>0</v>
      </c>
      <c r="BE18" s="18">
        <f>'Труматик гермики'!P17</f>
        <v>0</v>
      </c>
      <c r="BF18" s="18">
        <f t="shared" si="9"/>
        <v>0</v>
      </c>
      <c r="BG18">
        <f t="shared" si="10"/>
        <v>0</v>
      </c>
      <c r="BH18" s="356">
        <f>BG18*'Исходные данные'!H16</f>
        <v>0</v>
      </c>
      <c r="BI18">
        <f>IF(F18="Регуляр",IF(BB18=1,0.022*'Труматик гермики'!AB17,0),0)</f>
        <v>0</v>
      </c>
      <c r="BJ18" s="356">
        <f>BI18*'Исходные данные'!H16</f>
        <v>0</v>
      </c>
      <c r="BK18">
        <f t="shared" si="11"/>
        <v>0</v>
      </c>
      <c r="BL18">
        <f t="shared" si="12"/>
        <v>0</v>
      </c>
      <c r="BM18">
        <f>IF(BL18=3,0.006*2*'Исходные данные'!H16,IF(BL18=4,0.006*1.2*2*'Исходные данные'!H16,IF(BL18=5,IF('Исходные данные'!G16&lt;=290,0.006*2*'Исходные данные'!H16,0.012*2*'Исходные данные'!H16),IF(BL18=6,IF('Исходные данные'!G16&lt;=290,0.006*1.2*2*'Исходные данные'!H16,0.012*1.2*2*'Исходные данные'!H16),0))))</f>
        <v>0</v>
      </c>
      <c r="BN18">
        <f t="shared" si="13"/>
        <v>0</v>
      </c>
      <c r="BO18" s="359">
        <f t="shared" si="14"/>
        <v>0</v>
      </c>
      <c r="BP18">
        <f t="shared" si="15"/>
        <v>0</v>
      </c>
      <c r="BQ18">
        <f>IF(AH18="ОЦ",IF('Исходные данные'!F16&lt;=2000,0.012,IF('Исходные данные'!F16&gt;2000,0.018,0)),IF(AH18="нерж",IF('Исходные данные'!F16&lt;=2000,0.012*1.2,IF('Исходные данные'!F16&gt;2000,0.018*1.2,0)),0))</f>
        <v>0</v>
      </c>
      <c r="BR18" s="356">
        <f t="shared" si="16"/>
        <v>0</v>
      </c>
    </row>
    <row r="19" spans="1:70" ht="21.75" customHeight="1" thickBot="1">
      <c r="A19" s="482"/>
      <c r="B19" s="482"/>
      <c r="C19" s="510"/>
      <c r="D19" s="142" t="s">
        <v>258</v>
      </c>
      <c r="E19" s="178">
        <f>'Исходные данные'!B17</f>
        <v>0</v>
      </c>
      <c r="F19" s="157">
        <f>'Исходные данные'!C17</f>
        <v>0</v>
      </c>
      <c r="G19" s="157">
        <f>'Исходные данные'!D17</f>
        <v>0</v>
      </c>
      <c r="H19" s="157">
        <f>'Исходные данные'!F17</f>
        <v>0</v>
      </c>
      <c r="I19" s="157" t="str">
        <f>'Труматик гермики'!E18</f>
        <v>--</v>
      </c>
      <c r="J19" s="157">
        <f>'Исходные данные'!K17</f>
        <v>0</v>
      </c>
      <c r="K19" s="157">
        <f>'Исходные данные'!G17</f>
        <v>0</v>
      </c>
      <c r="L19" s="157" t="str">
        <f>'Труматик гермики'!E18</f>
        <v>--</v>
      </c>
      <c r="M19" s="157">
        <f>'Исходные данные'!K17</f>
        <v>0</v>
      </c>
      <c r="N19" s="157">
        <f>'Исходные данные'!H17</f>
        <v>0</v>
      </c>
      <c r="O19" s="159">
        <f>'Исходные данные'!F17</f>
        <v>0</v>
      </c>
      <c r="P19" s="159">
        <f>IF('Исходные данные'!H17&gt;0,'Исходные данные'!H17*2,0)</f>
        <v>0</v>
      </c>
      <c r="Q19" s="159">
        <f>'Исходные данные'!G17</f>
        <v>0</v>
      </c>
      <c r="R19" s="159">
        <f>IF('Исходные данные'!H17&gt;0,'Исходные данные'!H17*2,0)</f>
        <v>0</v>
      </c>
      <c r="S19" s="159">
        <f>'Исходные данные'!K17</f>
        <v>0</v>
      </c>
      <c r="T19" s="159" t="str">
        <f>'Задание на Trumpf'!S18</f>
        <v>---</v>
      </c>
      <c r="U19" s="159">
        <f>'Труматик гермики'!Q18</f>
        <v>0</v>
      </c>
      <c r="V19" s="159">
        <f>IF(U19="-----",0,'Задание на гибку'!U19*'Исходные данные'!H17)</f>
        <v>0</v>
      </c>
      <c r="W19" s="159" t="str">
        <f>IF('Исходные данные'!L17=1,"ОЦ",IF('Исходные данные'!L17=2,"нерж",IF('Исходные данные'!L17=3,"ОЦ",IF('Исходные данные'!L17=4,"ОЦ","---"))))</f>
        <v>---</v>
      </c>
      <c r="X19" s="507" t="str">
        <f>IF('Исходные данные'!M17=1,"Комплект кожухов","___")</f>
        <v>___</v>
      </c>
      <c r="Y19" s="507"/>
      <c r="Z19" s="213">
        <f>'Исходные данные'!K17</f>
        <v>0</v>
      </c>
      <c r="AA19" s="159" t="str">
        <f t="shared" si="0"/>
        <v>---</v>
      </c>
      <c r="AB19" s="213">
        <f>IF('Исходные данные'!M17=1,'Задание Ножницы лента'!I20,IF('Исходные данные'!M17=2,'Задание Ножницы лента'!I20,IF('Исходные данные'!M17=3,'Задание Ножницы лента'!I20,IF('Исходные данные'!M17=4,"---",))))</f>
        <v>0</v>
      </c>
      <c r="AC19" s="213" t="str">
        <f>'Задание Ножницы лента'!M20</f>
        <v>---</v>
      </c>
      <c r="AD19" s="159" t="str">
        <f>IF('Исходные данные'!M17=1,"ВГ 111.00.00.003",IF('Исходные данные'!M17=3,"ВГ 111.00.00.003",IF('Исходные данные'!M17=2,"ВГ 050.00.00.005",IF('Исходные данные'!M17=4,"ВГ 050.00.00.005","---"))))</f>
        <v>---</v>
      </c>
      <c r="AE19" s="159" t="str">
        <f>'Задание на Trumpf'!Y18</f>
        <v>---</v>
      </c>
      <c r="AF19" s="159" t="str">
        <f t="shared" si="1"/>
        <v>---</v>
      </c>
      <c r="AG19" s="368">
        <f>IF(AE19&gt;0,'Исходные данные'!H17*2,0)</f>
        <v>0</v>
      </c>
      <c r="AH19" s="369" t="str">
        <f t="shared" si="2"/>
        <v>---</v>
      </c>
      <c r="AI19" s="366">
        <f>'Исходные данные'!H17</f>
        <v>0</v>
      </c>
      <c r="AJ19" s="508"/>
      <c r="AK19" s="509"/>
      <c r="AL19" s="506"/>
      <c r="AM19" s="506"/>
      <c r="AN19" s="364"/>
      <c r="AO19" s="356">
        <f t="shared" si="3"/>
        <v>0</v>
      </c>
      <c r="AP19" s="18"/>
      <c r="AQ19" s="356">
        <f t="shared" si="4"/>
        <v>0</v>
      </c>
      <c r="AR19" s="18" t="str">
        <f>IF('Исходные данные'!M17=2,IF((AND('Исходные данные'!F17&gt;485,'Исходные данные'!F17&lt;635)),3,IF((AND('Исходные данные'!F17&gt;635,'Исходные данные'!F17&lt;785)),4,IF((AND('Исходные данные'!F17&gt;785,'Исходные данные'!F17&lt;935)),5,IF((AND('Исходные данные'!F17&gt;935,'Исходные данные'!F17&lt;1085)),6,IF((AND('Исходные данные'!F17&gt;1085,'Исходные данные'!F17&lt;1235)),7,IF((AND('Исходные данные'!F17&gt;1235,'Исходные данные'!F17&lt;1385)),8,IF((AND('Исходные данные'!F17&gt;1385,'Исходные данные'!F17&lt;1535)),9,IF((AND('Исходные данные'!F17&gt;1535,'Исходные данные'!F17&lt;1685)),10,IF((AND('Исходные данные'!F17&gt;1685,'Исходные данные'!F17&lt;1835)),11,IF((AND('Исходные данные'!F17&gt;1835,'Исходные данные'!F17&lt;1985)),12,IF((AND('Исходные данные'!F17&gt;1985,'Исходные данные'!F17&lt;2135)),13,IF((AND('Исходные данные'!F17&gt;2135,'Исходные данные'!F17&lt;2285)),14,IF((AND('Исходные данные'!F17&gt;2285,'Исходные данные'!F17&lt;2435)),15,IF((AND('Исходные данные'!F17&gt;180,'Исходные данные'!F17&lt;315)),1,IF((AND('Исходные данные'!F17&gt;315,'Исходные данные'!F17&lt;485)),2,IF(('Исходные данные'!F17&lt;=180),1,0)))))))))))))))),IF(('Исходные данные'!T17=0),IF(((AND('Исходные данные'!F17&gt;=165,'Исходные данные'!F17&lt;301))),1,IF(((AND('Исходные данные'!F17&gt;=301,'Исходные данные'!F17&lt;441))),2,IF(((AND('Исходные данные'!F17&gt;=441,'Исходные данные'!F17&lt;581))),3,IF(((AND('Исходные данные'!F17&gt;=581,'Исходные данные'!F17&lt;721))),4,IF(((AND('Исходные данные'!F17&gt;=721,'Исходные данные'!F17&lt;861))),5,IF(((AND('Исходные данные'!F17&gt;=861,'Исходные данные'!F17&lt;1000))),6,IF(((AND('Исходные данные'!F17&gt;=1000,'Исходные данные'!F17&lt;1141))),7,IF(((AND('Исходные данные'!F17&gt;=1141,'Исходные данные'!F17&lt;1281))),8,IF(((AND('Исходные данные'!F17&gt;=1281,'Исходные данные'!F17&lt;1421))),9,IF(((AND('Исходные данные'!F17&gt;=1421,'Исходные данные'!F17&lt;1561))),10,IF(((AND('Исходные данные'!F17&gt;=1561,'Исходные данные'!F17&lt;1701))),11,IF(((AND('Исходные данные'!F17&gt;=1701,'Исходные данные'!F17&lt;1841))),12,IF(((AND('Исходные данные'!F17&gt;=1841,'Исходные данные'!F17&lt;1981))),13,IF(((AND('Исходные данные'!F17&gt;=1981,'Исходные данные'!F17&lt;2121))),14,IF(((AND('Исходные данные'!F17&gt;=2121,'Исходные данные'!F17&lt;2261))),15,IF(((AND('Исходные данные'!F17&gt;=2261,'Исходные данные'!F17&lt;2400))),16,IF(((AND('Исходные данные'!F17&gt;=2400,'Исходные данные'!F17&lt;2410))),17,"---"))))))))))))))))),IF('Исходные данные'!M17=4,IF((AND('Исходные данные'!F17&gt;485,'Исходные данные'!F17&lt;635)),3,IF((AND('Исходные данные'!F17&gt;635,'Исходные данные'!F17&lt;785)),4,IF((AND('Исходные данные'!F17&gt;785,'Исходные данные'!F17&lt;935)),5,IF((AND('Исходные данные'!F17&gt;935,'Исходные данные'!F17&lt;1085)),6,IF((AND('Исходные данные'!F17&gt;1085,'Исходные данные'!F17&lt;1235)),7,IF((AND('Исходные данные'!F17&gt;1235,'Исходные данные'!F17&lt;1385)),8,IF((AND('Исходные данные'!F17&gt;1385,'Исходные данные'!F17&lt;1535)),9,IF((AND('Исходные данные'!F17&gt;1535,'Исходные данные'!F17&lt;1685)),10,IF((AND('Исходные данные'!F17&gt;1685,'Исходные данные'!F17&lt;1835)),11,IF((AND('Исходные данные'!F17&gt;1835,'Исходные данные'!F17&lt;1985)),12,IF((AND('Исходные данные'!F17&gt;1985,'Исходные данные'!F17&lt;2135)),13,IF((AND('Исходные данные'!F17&gt;2135,'Исходные данные'!F17&lt;2285)),14,IF((AND('Исходные данные'!F17&gt;2285,'Исходные данные'!F17&lt;2435)),15,IF((AND('Исходные данные'!F17&gt;180,'Исходные данные'!F17&lt;315)),1,IF((AND('Исходные данные'!F17&gt;315,'Исходные данные'!F17&lt;485)),2,IF(('Исходные данные'!F17&lt;=180),1,0)))))))))))))))),IF(('Исходные данные'!T17=0),IF(((AND('Исходные данные'!F17&gt;=165,'Исходные данные'!F17&lt;301))),1,IF(((AND('Исходные данные'!F17&gt;=301,'Исходные данные'!F17&lt;441))),2,IF(((AND('Исходные данные'!F17&gt;=441,'Исходные данные'!F17&lt;581))),3,IF(((AND('Исходные данные'!F17&gt;=581,'Исходные данные'!F17&lt;721))),4,IF(((AND('Исходные данные'!F17&gt;=721,'Исходные данные'!F17&lt;861))),5,IF(((AND('Исходные данные'!F17&gt;=861,'Исходные данные'!F17&lt;1000))),6,IF(((AND('Исходные данные'!F17&gt;=1000,'Исходные данные'!F17&lt;1141))),7,IF(((AND('Исходные данные'!F17&gt;=1141,'Исходные данные'!F17&lt;1281))),8,IF(((AND('Исходные данные'!F17&gt;=1281,'Исходные данные'!F17&lt;1421))),9,IF(((AND('Исходные данные'!F17&gt;=1421,'Исходные данные'!F17&lt;1561))),10,IF(((AND('Исходные данные'!F17&gt;=1561,'Исходные данные'!F17&lt;1701))),11,IF(((AND('Исходные данные'!F17&gt;=1701,'Исходные данные'!F17&lt;1841))),12,IF(((AND('Исходные данные'!F17&gt;=1841,'Исходные данные'!F17&lt;1981))),13,IF(((AND('Исходные данные'!F17&gt;=1981,'Исходные данные'!F17&lt;2121))),14,IF(((AND('Исходные данные'!F17&gt;=2121,'Исходные данные'!F17&lt;2261))),15,IF(((AND('Исходные данные'!F17&gt;=2261,'Исходные данные'!F17&lt;2400))),16,IF(((AND('Исходные данные'!F17&gt;=2400,'Исходные данные'!F17&lt;2410))),17,"---"))))))))))))))))),"----"))))</f>
        <v>----</v>
      </c>
      <c r="AS19" s="363">
        <f t="shared" si="5"/>
        <v>0</v>
      </c>
      <c r="AT19" s="363">
        <f>AS19*'Исходные данные'!H17</f>
        <v>0</v>
      </c>
      <c r="AU19" s="363">
        <f>IF('Исходные данные'!I17&lt;=140,0.013,IF('Исходные данные'!I17&lt;=290,0.021,IF('Исходные данные'!I17&gt;=300,0.042,0)))</f>
        <v>4.2000000000000003E-2</v>
      </c>
      <c r="AV19" s="363">
        <f t="shared" si="6"/>
        <v>0</v>
      </c>
      <c r="AW19" s="365">
        <f t="shared" si="7"/>
        <v>0</v>
      </c>
      <c r="AX19" s="363"/>
      <c r="AY19" s="465">
        <f>IF(X19="комплект кожухов",'Исходные данные'!H17,0)</f>
        <v>0</v>
      </c>
      <c r="AZ19" s="465"/>
      <c r="BA19" s="359">
        <f t="shared" si="8"/>
        <v>0</v>
      </c>
      <c r="BB19">
        <f>'Исходные данные'!M17</f>
        <v>0</v>
      </c>
      <c r="BC19">
        <f>IF(BB19=1,IF('Исходные данные'!F17&lt;=1000,0.017*2,IF('Исходные данные'!F17&lt;=2000,0.022*2,IF('Исходные данные'!F17&gt;2000,0.028*2,0))),IF(BB19=2,IF('Исходные данные'!F17&lt;=1000,0.017*2,IF('Исходные данные'!F17&lt;=2000,0.022*2,IF('Исходные данные'!F17&gt;2000,0.028*2,0))),IF(BB19=3,IF('Исходные данные'!F17&lt;=1000,0.017*2,IF('Исходные данные'!F17&lt;=2000,0.022*2,IF('Исходные данные'!F17&gt;2000,0.028*2,0))),0)))</f>
        <v>0</v>
      </c>
      <c r="BD19" s="356">
        <f>BC19*'Исходные данные'!H17</f>
        <v>0</v>
      </c>
      <c r="BE19" s="18">
        <f>'Труматик гермики'!P18</f>
        <v>0</v>
      </c>
      <c r="BF19" s="18">
        <f t="shared" si="9"/>
        <v>0</v>
      </c>
      <c r="BG19">
        <f t="shared" si="10"/>
        <v>0</v>
      </c>
      <c r="BH19" s="356">
        <f>BG19*'Исходные данные'!H17</f>
        <v>0</v>
      </c>
      <c r="BI19">
        <f>IF(F19="Регуляр",IF(BB19=1,0.022*'Труматик гермики'!AB18,0),0)</f>
        <v>0</v>
      </c>
      <c r="BJ19" s="356">
        <f>BI19*'Исходные данные'!H17</f>
        <v>0</v>
      </c>
      <c r="BK19">
        <f t="shared" si="11"/>
        <v>0</v>
      </c>
      <c r="BL19">
        <f t="shared" si="12"/>
        <v>0</v>
      </c>
      <c r="BM19">
        <f>IF(BL19=3,0.006*2*'Исходные данные'!H17,IF(BL19=4,0.006*1.2*2*'Исходные данные'!H17,IF(BL19=5,IF('Исходные данные'!G17&lt;=290,0.006*2*'Исходные данные'!H17,0.012*2*'Исходные данные'!H17),IF(BL19=6,IF('Исходные данные'!G17&lt;=290,0.006*1.2*2*'Исходные данные'!H17,0.012*1.2*2*'Исходные данные'!H17),0))))</f>
        <v>0</v>
      </c>
      <c r="BN19">
        <f t="shared" si="13"/>
        <v>0</v>
      </c>
      <c r="BO19" s="359">
        <f t="shared" si="14"/>
        <v>0</v>
      </c>
      <c r="BP19">
        <f t="shared" si="15"/>
        <v>0</v>
      </c>
      <c r="BQ19">
        <f>IF(AH19="ОЦ",IF('Исходные данные'!F17&lt;=2000,0.012,IF('Исходные данные'!F17&gt;2000,0.018,0)),IF(AH19="нерж",IF('Исходные данные'!F17&lt;=2000,0.012*1.2,IF('Исходные данные'!F17&gt;2000,0.018*1.2,0)),0))</f>
        <v>0</v>
      </c>
      <c r="BR19" s="356">
        <f t="shared" si="16"/>
        <v>0</v>
      </c>
    </row>
    <row r="20" spans="1:70" ht="21.75" customHeight="1" thickBot="1">
      <c r="A20" s="482"/>
      <c r="B20" s="482"/>
      <c r="C20" s="510"/>
      <c r="D20" s="142" t="s">
        <v>259</v>
      </c>
      <c r="E20" s="178">
        <f>'Исходные данные'!B18</f>
        <v>0</v>
      </c>
      <c r="F20" s="157">
        <f>'Исходные данные'!C18</f>
        <v>0</v>
      </c>
      <c r="G20" s="157">
        <f>'Исходные данные'!D18</f>
        <v>0</v>
      </c>
      <c r="H20" s="157">
        <f>'Исходные данные'!F18</f>
        <v>0</v>
      </c>
      <c r="I20" s="157" t="str">
        <f>'Труматик гермики'!E19</f>
        <v>--</v>
      </c>
      <c r="J20" s="157">
        <f>'Исходные данные'!K18</f>
        <v>0</v>
      </c>
      <c r="K20" s="157">
        <f>'Исходные данные'!G18</f>
        <v>0</v>
      </c>
      <c r="L20" s="157" t="str">
        <f>'Труматик гермики'!E19</f>
        <v>--</v>
      </c>
      <c r="M20" s="157">
        <f>'Исходные данные'!K18</f>
        <v>0</v>
      </c>
      <c r="N20" s="157">
        <f>'Исходные данные'!H18</f>
        <v>0</v>
      </c>
      <c r="O20" s="159">
        <f>'Исходные данные'!F18</f>
        <v>0</v>
      </c>
      <c r="P20" s="159">
        <f>IF('Исходные данные'!H18&gt;0,'Исходные данные'!H18*2,0)</f>
        <v>0</v>
      </c>
      <c r="Q20" s="159">
        <f>'Исходные данные'!G18</f>
        <v>0</v>
      </c>
      <c r="R20" s="159">
        <f>IF('Исходные данные'!H18&gt;0,'Исходные данные'!H18*2,0)</f>
        <v>0</v>
      </c>
      <c r="S20" s="159">
        <f>'Исходные данные'!K18</f>
        <v>0</v>
      </c>
      <c r="T20" s="159" t="str">
        <f>'Задание на Trumpf'!S19</f>
        <v>---</v>
      </c>
      <c r="U20" s="159">
        <f>'Труматик гермики'!Q19</f>
        <v>0</v>
      </c>
      <c r="V20" s="159">
        <f>IF(U20="-----",0,'Задание на гибку'!U20*'Исходные данные'!H18)</f>
        <v>0</v>
      </c>
      <c r="W20" s="159" t="str">
        <f>IF('Исходные данные'!L18=1,"ОЦ",IF('Исходные данные'!L18=2,"нерж",IF('Исходные данные'!L18=3,"ОЦ",IF('Исходные данные'!L18=4,"ОЦ","---"))))</f>
        <v>---</v>
      </c>
      <c r="X20" s="507" t="str">
        <f>IF('Исходные данные'!M18=1,"Комплект кожухов","___")</f>
        <v>___</v>
      </c>
      <c r="Y20" s="507"/>
      <c r="Z20" s="213">
        <f>'Исходные данные'!K18</f>
        <v>0</v>
      </c>
      <c r="AA20" s="159" t="str">
        <f t="shared" si="0"/>
        <v>---</v>
      </c>
      <c r="AB20" s="213">
        <f>IF('Исходные данные'!M18=1,'Задание Ножницы лента'!I21,IF('Исходные данные'!M18=2,'Задание Ножницы лента'!I21,IF('Исходные данные'!M18=3,'Задание Ножницы лента'!I21,IF('Исходные данные'!M18=4,"---",))))</f>
        <v>0</v>
      </c>
      <c r="AC20" s="213" t="str">
        <f>'Задание Ножницы лента'!M21</f>
        <v>---</v>
      </c>
      <c r="AD20" s="159" t="str">
        <f>IF('Исходные данные'!M18=1,"ВГ 111.00.00.003",IF('Исходные данные'!M18=3,"ВГ 111.00.00.003",IF('Исходные данные'!M18=2,"ВГ 050.00.00.005",IF('Исходные данные'!M18=4,"ВГ 050.00.00.005","---"))))</f>
        <v>---</v>
      </c>
      <c r="AE20" s="159" t="str">
        <f>'Задание на Trumpf'!Y19</f>
        <v>---</v>
      </c>
      <c r="AF20" s="159" t="str">
        <f t="shared" si="1"/>
        <v>---</v>
      </c>
      <c r="AG20" s="368">
        <f>IF(AE20&gt;0,'Исходные данные'!H18*2,0)</f>
        <v>0</v>
      </c>
      <c r="AH20" s="369" t="str">
        <f t="shared" si="2"/>
        <v>---</v>
      </c>
      <c r="AI20" s="366">
        <f>'Исходные данные'!H18</f>
        <v>0</v>
      </c>
      <c r="AJ20" s="508"/>
      <c r="AK20" s="509"/>
      <c r="AL20" s="119"/>
      <c r="AM20" s="506"/>
      <c r="AN20" s="364"/>
      <c r="AO20" s="356">
        <f t="shared" si="3"/>
        <v>0</v>
      </c>
      <c r="AP20" s="18"/>
      <c r="AQ20" s="356">
        <f t="shared" si="4"/>
        <v>0</v>
      </c>
      <c r="AR20" s="18" t="str">
        <f>IF('Исходные данные'!M18=2,IF((AND('Исходные данные'!F18&gt;485,'Исходные данные'!F18&lt;635)),3,IF((AND('Исходные данные'!F18&gt;635,'Исходные данные'!F18&lt;785)),4,IF((AND('Исходные данные'!F18&gt;785,'Исходные данные'!F18&lt;935)),5,IF((AND('Исходные данные'!F18&gt;935,'Исходные данные'!F18&lt;1085)),6,IF((AND('Исходные данные'!F18&gt;1085,'Исходные данные'!F18&lt;1235)),7,IF((AND('Исходные данные'!F18&gt;1235,'Исходные данные'!F18&lt;1385)),8,IF((AND('Исходные данные'!F18&gt;1385,'Исходные данные'!F18&lt;1535)),9,IF((AND('Исходные данные'!F18&gt;1535,'Исходные данные'!F18&lt;1685)),10,IF((AND('Исходные данные'!F18&gt;1685,'Исходные данные'!F18&lt;1835)),11,IF((AND('Исходные данные'!F18&gt;1835,'Исходные данные'!F18&lt;1985)),12,IF((AND('Исходные данные'!F18&gt;1985,'Исходные данные'!F18&lt;2135)),13,IF((AND('Исходные данные'!F18&gt;2135,'Исходные данные'!F18&lt;2285)),14,IF((AND('Исходные данные'!F18&gt;2285,'Исходные данные'!F18&lt;2435)),15,IF((AND('Исходные данные'!F18&gt;180,'Исходные данные'!F18&lt;315)),1,IF((AND('Исходные данные'!F18&gt;315,'Исходные данные'!F18&lt;485)),2,IF(('Исходные данные'!F18&lt;=180),1,0)))))))))))))))),IF(('Исходные данные'!T18=0),IF(((AND('Исходные данные'!F18&gt;=165,'Исходные данные'!F18&lt;301))),1,IF(((AND('Исходные данные'!F18&gt;=301,'Исходные данные'!F18&lt;441))),2,IF(((AND('Исходные данные'!F18&gt;=441,'Исходные данные'!F18&lt;581))),3,IF(((AND('Исходные данные'!F18&gt;=581,'Исходные данные'!F18&lt;721))),4,IF(((AND('Исходные данные'!F18&gt;=721,'Исходные данные'!F18&lt;861))),5,IF(((AND('Исходные данные'!F18&gt;=861,'Исходные данные'!F18&lt;1000))),6,IF(((AND('Исходные данные'!F18&gt;=1000,'Исходные данные'!F18&lt;1141))),7,IF(((AND('Исходные данные'!F18&gt;=1141,'Исходные данные'!F18&lt;1281))),8,IF(((AND('Исходные данные'!F18&gt;=1281,'Исходные данные'!F18&lt;1421))),9,IF(((AND('Исходные данные'!F18&gt;=1421,'Исходные данные'!F18&lt;1561))),10,IF(((AND('Исходные данные'!F18&gt;=1561,'Исходные данные'!F18&lt;1701))),11,IF(((AND('Исходные данные'!F18&gt;=1701,'Исходные данные'!F18&lt;1841))),12,IF(((AND('Исходные данные'!F18&gt;=1841,'Исходные данные'!F18&lt;1981))),13,IF(((AND('Исходные данные'!F18&gt;=1981,'Исходные данные'!F18&lt;2121))),14,IF(((AND('Исходные данные'!F18&gt;=2121,'Исходные данные'!F18&lt;2261))),15,IF(((AND('Исходные данные'!F18&gt;=2261,'Исходные данные'!F18&lt;2400))),16,IF(((AND('Исходные данные'!F18&gt;=2400,'Исходные данные'!F18&lt;2410))),17,"---"))))))))))))))))),IF('Исходные данные'!M18=4,IF((AND('Исходные данные'!F18&gt;485,'Исходные данные'!F18&lt;635)),3,IF((AND('Исходные данные'!F18&gt;635,'Исходные данные'!F18&lt;785)),4,IF((AND('Исходные данные'!F18&gt;785,'Исходные данные'!F18&lt;935)),5,IF((AND('Исходные данные'!F18&gt;935,'Исходные данные'!F18&lt;1085)),6,IF((AND('Исходные данные'!F18&gt;1085,'Исходные данные'!F18&lt;1235)),7,IF((AND('Исходные данные'!F18&gt;1235,'Исходные данные'!F18&lt;1385)),8,IF((AND('Исходные данные'!F18&gt;1385,'Исходные данные'!F18&lt;1535)),9,IF((AND('Исходные данные'!F18&gt;1535,'Исходные данные'!F18&lt;1685)),10,IF((AND('Исходные данные'!F18&gt;1685,'Исходные данные'!F18&lt;1835)),11,IF((AND('Исходные данные'!F18&gt;1835,'Исходные данные'!F18&lt;1985)),12,IF((AND('Исходные данные'!F18&gt;1985,'Исходные данные'!F18&lt;2135)),13,IF((AND('Исходные данные'!F18&gt;2135,'Исходные данные'!F18&lt;2285)),14,IF((AND('Исходные данные'!F18&gt;2285,'Исходные данные'!F18&lt;2435)),15,IF((AND('Исходные данные'!F18&gt;180,'Исходные данные'!F18&lt;315)),1,IF((AND('Исходные данные'!F18&gt;315,'Исходные данные'!F18&lt;485)),2,IF(('Исходные данные'!F18&lt;=180),1,0)))))))))))))))),IF(('Исходные данные'!T18=0),IF(((AND('Исходные данные'!F18&gt;=165,'Исходные данные'!F18&lt;301))),1,IF(((AND('Исходные данные'!F18&gt;=301,'Исходные данные'!F18&lt;441))),2,IF(((AND('Исходные данные'!F18&gt;=441,'Исходные данные'!F18&lt;581))),3,IF(((AND('Исходные данные'!F18&gt;=581,'Исходные данные'!F18&lt;721))),4,IF(((AND('Исходные данные'!F18&gt;=721,'Исходные данные'!F18&lt;861))),5,IF(((AND('Исходные данные'!F18&gt;=861,'Исходные данные'!F18&lt;1000))),6,IF(((AND('Исходные данные'!F18&gt;=1000,'Исходные данные'!F18&lt;1141))),7,IF(((AND('Исходные данные'!F18&gt;=1141,'Исходные данные'!F18&lt;1281))),8,IF(((AND('Исходные данные'!F18&gt;=1281,'Исходные данные'!F18&lt;1421))),9,IF(((AND('Исходные данные'!F18&gt;=1421,'Исходные данные'!F18&lt;1561))),10,IF(((AND('Исходные данные'!F18&gt;=1561,'Исходные данные'!F18&lt;1701))),11,IF(((AND('Исходные данные'!F18&gt;=1701,'Исходные данные'!F18&lt;1841))),12,IF(((AND('Исходные данные'!F18&gt;=1841,'Исходные данные'!F18&lt;1981))),13,IF(((AND('Исходные данные'!F18&gt;=1981,'Исходные данные'!F18&lt;2121))),14,IF(((AND('Исходные данные'!F18&gt;=2121,'Исходные данные'!F18&lt;2261))),15,IF(((AND('Исходные данные'!F18&gt;=2261,'Исходные данные'!F18&lt;2400))),16,IF(((AND('Исходные данные'!F18&gt;=2400,'Исходные данные'!F18&lt;2410))),17,"---"))))))))))))))))),"----"))))</f>
        <v>----</v>
      </c>
      <c r="AS20" s="363">
        <f t="shared" si="5"/>
        <v>0</v>
      </c>
      <c r="AT20" s="363">
        <f>AS20*'Исходные данные'!H18</f>
        <v>0</v>
      </c>
      <c r="AU20" s="363">
        <f>IF('Исходные данные'!I18&lt;=140,0.013,IF('Исходные данные'!I18&lt;=290,0.021,IF('Исходные данные'!I18&gt;=300,0.042,0)))</f>
        <v>4.2000000000000003E-2</v>
      </c>
      <c r="AV20" s="363">
        <f t="shared" si="6"/>
        <v>0</v>
      </c>
      <c r="AW20" s="365">
        <f t="shared" si="7"/>
        <v>0</v>
      </c>
      <c r="AX20" s="363"/>
      <c r="AY20" s="465">
        <f>IF(X20="комплект кожухов",'Исходные данные'!H18,0)</f>
        <v>0</v>
      </c>
      <c r="AZ20" s="465"/>
      <c r="BA20" s="359">
        <f t="shared" si="8"/>
        <v>0</v>
      </c>
      <c r="BB20">
        <f>'Исходные данные'!M18</f>
        <v>0</v>
      </c>
      <c r="BC20">
        <f>IF(BB20=1,IF('Исходные данные'!F18&lt;=1000,0.017*2,IF('Исходные данные'!F18&lt;=2000,0.022*2,IF('Исходные данные'!F18&gt;2000,0.028*2,0))),IF(BB20=2,IF('Исходные данные'!F18&lt;=1000,0.017*2,IF('Исходные данные'!F18&lt;=2000,0.022*2,IF('Исходные данные'!F18&gt;2000,0.028*2,0))),IF(BB20=3,IF('Исходные данные'!F18&lt;=1000,0.017*2,IF('Исходные данные'!F18&lt;=2000,0.022*2,IF('Исходные данные'!F18&gt;2000,0.028*2,0))),0)))</f>
        <v>0</v>
      </c>
      <c r="BD20" s="356">
        <f>BC20*'Исходные данные'!H18</f>
        <v>0</v>
      </c>
      <c r="BE20" s="18">
        <f>'Труматик гермики'!P19</f>
        <v>0</v>
      </c>
      <c r="BF20" s="18">
        <f t="shared" si="9"/>
        <v>0</v>
      </c>
      <c r="BG20">
        <f t="shared" si="10"/>
        <v>0</v>
      </c>
      <c r="BH20" s="356">
        <f>BG20*'Исходные данные'!H18</f>
        <v>0</v>
      </c>
      <c r="BI20">
        <f>IF(F20="Регуляр",IF(BB20=1,0.022*'Труматик гермики'!AB19,0),0)</f>
        <v>0</v>
      </c>
      <c r="BJ20" s="356">
        <f>BI20*'Исходные данные'!H18</f>
        <v>0</v>
      </c>
      <c r="BK20">
        <f t="shared" si="11"/>
        <v>0</v>
      </c>
      <c r="BL20">
        <f t="shared" si="12"/>
        <v>0</v>
      </c>
      <c r="BM20">
        <f>IF(BL20=3,0.006*2*'Исходные данные'!H18,IF(BL20=4,0.006*1.2*2*'Исходные данные'!H18,IF(BL20=5,IF('Исходные данные'!G18&lt;=290,0.006*2*'Исходные данные'!H18,0.012*2*'Исходные данные'!H18),IF(BL20=6,IF('Исходные данные'!G18&lt;=290,0.006*1.2*2*'Исходные данные'!H18,0.012*1.2*2*'Исходные данные'!H18),0))))</f>
        <v>0</v>
      </c>
      <c r="BN20">
        <f t="shared" si="13"/>
        <v>0</v>
      </c>
      <c r="BO20" s="359">
        <f t="shared" si="14"/>
        <v>0</v>
      </c>
      <c r="BP20">
        <f t="shared" si="15"/>
        <v>0</v>
      </c>
      <c r="BQ20">
        <f>IF(AH20="ОЦ",IF('Исходные данные'!F18&lt;=2000,0.012,IF('Исходные данные'!F18&gt;2000,0.018,0)),IF(AH20="нерж",IF('Исходные данные'!F18&lt;=2000,0.012*1.2,IF('Исходные данные'!F18&gt;2000,0.018*1.2,0)),0))</f>
        <v>0</v>
      </c>
      <c r="BR20" s="356">
        <f t="shared" si="16"/>
        <v>0</v>
      </c>
    </row>
    <row r="21" spans="1:70" ht="21.75" customHeight="1" thickBot="1">
      <c r="A21" s="482"/>
      <c r="B21" s="482"/>
      <c r="C21" s="510"/>
      <c r="D21" s="142" t="s">
        <v>260</v>
      </c>
      <c r="E21" s="178">
        <f>'Исходные данные'!B19</f>
        <v>0</v>
      </c>
      <c r="F21" s="157">
        <f>'Исходные данные'!C19</f>
        <v>0</v>
      </c>
      <c r="G21" s="157">
        <f>'Исходные данные'!D19</f>
        <v>0</v>
      </c>
      <c r="H21" s="157">
        <f>'Исходные данные'!F19</f>
        <v>0</v>
      </c>
      <c r="I21" s="157" t="str">
        <f>'Труматик гермики'!E20</f>
        <v>--</v>
      </c>
      <c r="J21" s="157">
        <f>'Исходные данные'!K19</f>
        <v>0</v>
      </c>
      <c r="K21" s="157">
        <f>'Исходные данные'!G19</f>
        <v>0</v>
      </c>
      <c r="L21" s="157" t="str">
        <f>'Труматик гермики'!E20</f>
        <v>--</v>
      </c>
      <c r="M21" s="157">
        <f>'Исходные данные'!K19</f>
        <v>0</v>
      </c>
      <c r="N21" s="157">
        <f>'Исходные данные'!H19</f>
        <v>0</v>
      </c>
      <c r="O21" s="159">
        <f>'Исходные данные'!F19</f>
        <v>0</v>
      </c>
      <c r="P21" s="159">
        <f>IF('Исходные данные'!H19&gt;0,'Исходные данные'!H19*2,0)</f>
        <v>0</v>
      </c>
      <c r="Q21" s="159">
        <f>'Исходные данные'!G19</f>
        <v>0</v>
      </c>
      <c r="R21" s="159">
        <f>IF('Исходные данные'!H19&gt;0,'Исходные данные'!H19*2,0)</f>
        <v>0</v>
      </c>
      <c r="S21" s="159">
        <f>'Исходные данные'!K19</f>
        <v>0</v>
      </c>
      <c r="T21" s="159" t="str">
        <f>'Задание на Trumpf'!S20</f>
        <v>---</v>
      </c>
      <c r="U21" s="159">
        <f>'Труматик гермики'!Q20</f>
        <v>0</v>
      </c>
      <c r="V21" s="159">
        <f>IF(U21="-----",0,'Задание на гибку'!U21*'Исходные данные'!H19)</f>
        <v>0</v>
      </c>
      <c r="W21" s="159" t="str">
        <f>IF('Исходные данные'!L19=1,"ОЦ",IF('Исходные данные'!L19=2,"нерж",IF('Исходные данные'!L19=3,"ОЦ",IF('Исходные данные'!L19=4,"ОЦ","---"))))</f>
        <v>---</v>
      </c>
      <c r="X21" s="507" t="str">
        <f>IF('Исходные данные'!M19=1,"Комплект кожухов","___")</f>
        <v>___</v>
      </c>
      <c r="Y21" s="507"/>
      <c r="Z21" s="213">
        <f>'Исходные данные'!K19</f>
        <v>0</v>
      </c>
      <c r="AA21" s="159" t="str">
        <f t="shared" si="0"/>
        <v>---</v>
      </c>
      <c r="AB21" s="213">
        <f>IF('Исходные данные'!M19=1,'Задание Ножницы лента'!I22,IF('Исходные данные'!M19=2,'Задание Ножницы лента'!I22,IF('Исходные данные'!M19=3,'Задание Ножницы лента'!I22,IF('Исходные данные'!M19=4,"---",))))</f>
        <v>0</v>
      </c>
      <c r="AC21" s="213" t="str">
        <f>'Задание Ножницы лента'!M22</f>
        <v>---</v>
      </c>
      <c r="AD21" s="159" t="str">
        <f>IF('Исходные данные'!M19=1,"ВГ 111.00.00.003",IF('Исходные данные'!M19=3,"ВГ 111.00.00.003",IF('Исходные данные'!M19=2,"ВГ 050.00.00.005",IF('Исходные данные'!M19=4,"ВГ 050.00.00.005","---"))))</f>
        <v>---</v>
      </c>
      <c r="AE21" s="159" t="str">
        <f>'Задание на Trumpf'!Y20</f>
        <v>---</v>
      </c>
      <c r="AF21" s="159" t="str">
        <f t="shared" si="1"/>
        <v>---</v>
      </c>
      <c r="AG21" s="368">
        <f>IF(AE21&gt;0,'Исходные данные'!H19*2,0)</f>
        <v>0</v>
      </c>
      <c r="AH21" s="369" t="str">
        <f t="shared" si="2"/>
        <v>---</v>
      </c>
      <c r="AI21" s="366">
        <f>'Исходные данные'!H19</f>
        <v>0</v>
      </c>
      <c r="AJ21" s="508"/>
      <c r="AK21" s="509"/>
      <c r="AL21" s="119"/>
      <c r="AM21" s="506"/>
      <c r="AN21" s="364"/>
      <c r="AO21" s="356">
        <f t="shared" si="3"/>
        <v>0</v>
      </c>
      <c r="AP21" s="18"/>
      <c r="AQ21" s="356">
        <f t="shared" si="4"/>
        <v>0</v>
      </c>
      <c r="AR21" s="18" t="str">
        <f>IF('Исходные данные'!M19=2,IF((AND('Исходные данные'!F19&gt;485,'Исходные данные'!F19&lt;635)),3,IF((AND('Исходные данные'!F19&gt;635,'Исходные данные'!F19&lt;785)),4,IF((AND('Исходные данные'!F19&gt;785,'Исходные данные'!F19&lt;935)),5,IF((AND('Исходные данные'!F19&gt;935,'Исходные данные'!F19&lt;1085)),6,IF((AND('Исходные данные'!F19&gt;1085,'Исходные данные'!F19&lt;1235)),7,IF((AND('Исходные данные'!F19&gt;1235,'Исходные данные'!F19&lt;1385)),8,IF((AND('Исходные данные'!F19&gt;1385,'Исходные данные'!F19&lt;1535)),9,IF((AND('Исходные данные'!F19&gt;1535,'Исходные данные'!F19&lt;1685)),10,IF((AND('Исходные данные'!F19&gt;1685,'Исходные данные'!F19&lt;1835)),11,IF((AND('Исходные данные'!F19&gt;1835,'Исходные данные'!F19&lt;1985)),12,IF((AND('Исходные данные'!F19&gt;1985,'Исходные данные'!F19&lt;2135)),13,IF((AND('Исходные данные'!F19&gt;2135,'Исходные данные'!F19&lt;2285)),14,IF((AND('Исходные данные'!F19&gt;2285,'Исходные данные'!F19&lt;2435)),15,IF((AND('Исходные данные'!F19&gt;180,'Исходные данные'!F19&lt;315)),1,IF((AND('Исходные данные'!F19&gt;315,'Исходные данные'!F19&lt;485)),2,IF(('Исходные данные'!F19&lt;=180),1,0)))))))))))))))),IF(('Исходные данные'!T19=0),IF(((AND('Исходные данные'!F19&gt;=165,'Исходные данные'!F19&lt;301))),1,IF(((AND('Исходные данные'!F19&gt;=301,'Исходные данные'!F19&lt;441))),2,IF(((AND('Исходные данные'!F19&gt;=441,'Исходные данные'!F19&lt;581))),3,IF(((AND('Исходные данные'!F19&gt;=581,'Исходные данные'!F19&lt;721))),4,IF(((AND('Исходные данные'!F19&gt;=721,'Исходные данные'!F19&lt;861))),5,IF(((AND('Исходные данные'!F19&gt;=861,'Исходные данные'!F19&lt;1000))),6,IF(((AND('Исходные данные'!F19&gt;=1000,'Исходные данные'!F19&lt;1141))),7,IF(((AND('Исходные данные'!F19&gt;=1141,'Исходные данные'!F19&lt;1281))),8,IF(((AND('Исходные данные'!F19&gt;=1281,'Исходные данные'!F19&lt;1421))),9,IF(((AND('Исходные данные'!F19&gt;=1421,'Исходные данные'!F19&lt;1561))),10,IF(((AND('Исходные данные'!F19&gt;=1561,'Исходные данные'!F19&lt;1701))),11,IF(((AND('Исходные данные'!F19&gt;=1701,'Исходные данные'!F19&lt;1841))),12,IF(((AND('Исходные данные'!F19&gt;=1841,'Исходные данные'!F19&lt;1981))),13,IF(((AND('Исходные данные'!F19&gt;=1981,'Исходные данные'!F19&lt;2121))),14,IF(((AND('Исходные данные'!F19&gt;=2121,'Исходные данные'!F19&lt;2261))),15,IF(((AND('Исходные данные'!F19&gt;=2261,'Исходные данные'!F19&lt;2400))),16,IF(((AND('Исходные данные'!F19&gt;=2400,'Исходные данные'!F19&lt;2410))),17,"---"))))))))))))))))),IF('Исходные данные'!M19=4,IF((AND('Исходные данные'!F19&gt;485,'Исходные данные'!F19&lt;635)),3,IF((AND('Исходные данные'!F19&gt;635,'Исходные данные'!F19&lt;785)),4,IF((AND('Исходные данные'!F19&gt;785,'Исходные данные'!F19&lt;935)),5,IF((AND('Исходные данные'!F19&gt;935,'Исходные данные'!F19&lt;1085)),6,IF((AND('Исходные данные'!F19&gt;1085,'Исходные данные'!F19&lt;1235)),7,IF((AND('Исходные данные'!F19&gt;1235,'Исходные данные'!F19&lt;1385)),8,IF((AND('Исходные данные'!F19&gt;1385,'Исходные данные'!F19&lt;1535)),9,IF((AND('Исходные данные'!F19&gt;1535,'Исходные данные'!F19&lt;1685)),10,IF((AND('Исходные данные'!F19&gt;1685,'Исходные данные'!F19&lt;1835)),11,IF((AND('Исходные данные'!F19&gt;1835,'Исходные данные'!F19&lt;1985)),12,IF((AND('Исходные данные'!F19&gt;1985,'Исходные данные'!F19&lt;2135)),13,IF((AND('Исходные данные'!F19&gt;2135,'Исходные данные'!F19&lt;2285)),14,IF((AND('Исходные данные'!F19&gt;2285,'Исходные данные'!F19&lt;2435)),15,IF((AND('Исходные данные'!F19&gt;180,'Исходные данные'!F19&lt;315)),1,IF((AND('Исходные данные'!F19&gt;315,'Исходные данные'!F19&lt;485)),2,IF(('Исходные данные'!F19&lt;=180),1,0)))))))))))))))),IF(('Исходные данные'!T19=0),IF(((AND('Исходные данные'!F19&gt;=165,'Исходные данные'!F19&lt;301))),1,IF(((AND('Исходные данные'!F19&gt;=301,'Исходные данные'!F19&lt;441))),2,IF(((AND('Исходные данные'!F19&gt;=441,'Исходные данные'!F19&lt;581))),3,IF(((AND('Исходные данные'!F19&gt;=581,'Исходные данные'!F19&lt;721))),4,IF(((AND('Исходные данные'!F19&gt;=721,'Исходные данные'!F19&lt;861))),5,IF(((AND('Исходные данные'!F19&gt;=861,'Исходные данные'!F19&lt;1000))),6,IF(((AND('Исходные данные'!F19&gt;=1000,'Исходные данные'!F19&lt;1141))),7,IF(((AND('Исходные данные'!F19&gt;=1141,'Исходные данные'!F19&lt;1281))),8,IF(((AND('Исходные данные'!F19&gt;=1281,'Исходные данные'!F19&lt;1421))),9,IF(((AND('Исходные данные'!F19&gt;=1421,'Исходные данные'!F19&lt;1561))),10,IF(((AND('Исходные данные'!F19&gt;=1561,'Исходные данные'!F19&lt;1701))),11,IF(((AND('Исходные данные'!F19&gt;=1701,'Исходные данные'!F19&lt;1841))),12,IF(((AND('Исходные данные'!F19&gt;=1841,'Исходные данные'!F19&lt;1981))),13,IF(((AND('Исходные данные'!F19&gt;=1981,'Исходные данные'!F19&lt;2121))),14,IF(((AND('Исходные данные'!F19&gt;=2121,'Исходные данные'!F19&lt;2261))),15,IF(((AND('Исходные данные'!F19&gt;=2261,'Исходные данные'!F19&lt;2400))),16,IF(((AND('Исходные данные'!F19&gt;=2400,'Исходные данные'!F19&lt;2410))),17,"---"))))))))))))))))),"----"))))</f>
        <v>----</v>
      </c>
      <c r="AS21" s="363">
        <f t="shared" si="5"/>
        <v>0</v>
      </c>
      <c r="AT21" s="363">
        <f>AS21*'Исходные данные'!H19</f>
        <v>0</v>
      </c>
      <c r="AU21" s="363">
        <f>IF('Исходные данные'!I19&lt;=140,0.013,IF('Исходные данные'!I19&lt;=290,0.021,IF('Исходные данные'!I19&gt;=300,0.042,0)))</f>
        <v>4.2000000000000003E-2</v>
      </c>
      <c r="AV21" s="363">
        <f t="shared" si="6"/>
        <v>0</v>
      </c>
      <c r="AW21" s="365">
        <f t="shared" si="7"/>
        <v>0</v>
      </c>
      <c r="AX21" s="363"/>
      <c r="AY21" s="465">
        <f>IF(X21="комплект кожухов",'Исходные данные'!H19,0)</f>
        <v>0</v>
      </c>
      <c r="AZ21" s="465"/>
      <c r="BA21" s="359">
        <f t="shared" si="8"/>
        <v>0</v>
      </c>
      <c r="BB21">
        <f>'Исходные данные'!M19</f>
        <v>0</v>
      </c>
      <c r="BC21">
        <f>IF(BB21=1,IF('Исходные данные'!F19&lt;=1000,0.017*2,IF('Исходные данные'!F19&lt;=2000,0.022*2,IF('Исходные данные'!F19&gt;2000,0.028*2,0))),IF(BB21=2,IF('Исходные данные'!F19&lt;=1000,0.017*2,IF('Исходные данные'!F19&lt;=2000,0.022*2,IF('Исходные данные'!F19&gt;2000,0.028*2,0))),IF(BB21=3,IF('Исходные данные'!F19&lt;=1000,0.017*2,IF('Исходные данные'!F19&lt;=2000,0.022*2,IF('Исходные данные'!F19&gt;2000,0.028*2,0))),0)))</f>
        <v>0</v>
      </c>
      <c r="BD21" s="356">
        <f>BC21*'Исходные данные'!H19</f>
        <v>0</v>
      </c>
      <c r="BE21" s="18">
        <f>'Труматик гермики'!P20</f>
        <v>0</v>
      </c>
      <c r="BF21" s="18">
        <f t="shared" si="9"/>
        <v>0</v>
      </c>
      <c r="BG21">
        <f t="shared" si="10"/>
        <v>0</v>
      </c>
      <c r="BH21" s="356">
        <f>BG21*'Исходные данные'!H19</f>
        <v>0</v>
      </c>
      <c r="BI21">
        <f>IF(F21="Регуляр",IF(BB21=1,0.022*'Труматик гермики'!AB20,0),0)</f>
        <v>0</v>
      </c>
      <c r="BJ21" s="356">
        <f>BI21*'Исходные данные'!H19</f>
        <v>0</v>
      </c>
      <c r="BK21">
        <f t="shared" si="11"/>
        <v>0</v>
      </c>
      <c r="BL21">
        <f t="shared" si="12"/>
        <v>0</v>
      </c>
      <c r="BM21">
        <f>IF(BL21=3,0.006*2*'Исходные данные'!H19,IF(BL21=4,0.006*1.2*2*'Исходные данные'!H19,IF(BL21=5,IF('Исходные данные'!G19&lt;=290,0.006*2*'Исходные данные'!H19,0.012*2*'Исходные данные'!H19),IF(BL21=6,IF('Исходные данные'!G19&lt;=290,0.006*1.2*2*'Исходные данные'!H19,0.012*1.2*2*'Исходные данные'!H19),0))))</f>
        <v>0</v>
      </c>
      <c r="BN21">
        <f t="shared" si="13"/>
        <v>0</v>
      </c>
      <c r="BO21" s="359">
        <f t="shared" si="14"/>
        <v>0</v>
      </c>
      <c r="BP21">
        <f t="shared" si="15"/>
        <v>0</v>
      </c>
      <c r="BQ21">
        <f>IF(AH21="ОЦ",IF('Исходные данные'!F19&lt;=2000,0.012,IF('Исходные данные'!F19&gt;2000,0.018,0)),IF(AH21="нерж",IF('Исходные данные'!F19&lt;=2000,0.012*1.2,IF('Исходные данные'!F19&gt;2000,0.018*1.2,0)),0))</f>
        <v>0</v>
      </c>
      <c r="BR21" s="356">
        <f t="shared" si="16"/>
        <v>0</v>
      </c>
    </row>
    <row r="22" spans="1:70" ht="21.75" customHeight="1" thickBot="1">
      <c r="A22" s="482"/>
      <c r="B22" s="482"/>
      <c r="C22" s="510"/>
      <c r="D22" s="142" t="s">
        <v>261</v>
      </c>
      <c r="E22" s="178">
        <f>'Исходные данные'!B20</f>
        <v>0</v>
      </c>
      <c r="F22" s="157">
        <f>'Исходные данные'!C20</f>
        <v>0</v>
      </c>
      <c r="G22" s="157">
        <f>'Исходные данные'!D20</f>
        <v>0</v>
      </c>
      <c r="H22" s="157">
        <f>'Исходные данные'!F20</f>
        <v>0</v>
      </c>
      <c r="I22" s="157" t="str">
        <f>'Труматик гермики'!E21</f>
        <v>--</v>
      </c>
      <c r="J22" s="157">
        <f>'Исходные данные'!K20</f>
        <v>0</v>
      </c>
      <c r="K22" s="157">
        <f>'Исходные данные'!G20</f>
        <v>0</v>
      </c>
      <c r="L22" s="157" t="str">
        <f>'Труматик гермики'!E21</f>
        <v>--</v>
      </c>
      <c r="M22" s="157">
        <f>'Исходные данные'!K20</f>
        <v>0</v>
      </c>
      <c r="N22" s="157">
        <f>'Исходные данные'!H20</f>
        <v>0</v>
      </c>
      <c r="O22" s="159">
        <f>'Исходные данные'!F20</f>
        <v>0</v>
      </c>
      <c r="P22" s="159">
        <f>IF('Исходные данные'!H20&gt;0,'Исходные данные'!H20*2,0)</f>
        <v>0</v>
      </c>
      <c r="Q22" s="159">
        <f>'Исходные данные'!G20</f>
        <v>0</v>
      </c>
      <c r="R22" s="159">
        <f>IF('Исходные данные'!H20&gt;0,'Исходные данные'!H20*2,0)</f>
        <v>0</v>
      </c>
      <c r="S22" s="159">
        <f>'Исходные данные'!K20</f>
        <v>0</v>
      </c>
      <c r="T22" s="159" t="str">
        <f>'Задание на Trumpf'!S21</f>
        <v>---</v>
      </c>
      <c r="U22" s="159">
        <f>'Труматик гермики'!Q21</f>
        <v>0</v>
      </c>
      <c r="V22" s="159">
        <f>IF(U22="-----",0,'Задание на гибку'!U22*'Исходные данные'!H20)</f>
        <v>0</v>
      </c>
      <c r="W22" s="159" t="str">
        <f>IF('Исходные данные'!L20=1,"ОЦ",IF('Исходные данные'!L20=2,"нерж",IF('Исходные данные'!L20=3,"ОЦ",IF('Исходные данные'!L20=4,"ОЦ","---"))))</f>
        <v>---</v>
      </c>
      <c r="X22" s="507" t="str">
        <f>IF('Исходные данные'!M20=1,"Комплект кожухов","___")</f>
        <v>___</v>
      </c>
      <c r="Y22" s="507"/>
      <c r="Z22" s="213">
        <f>'Исходные данные'!K20</f>
        <v>0</v>
      </c>
      <c r="AA22" s="159" t="str">
        <f t="shared" si="0"/>
        <v>---</v>
      </c>
      <c r="AB22" s="213">
        <f>IF('Исходные данные'!M20=1,'Задание Ножницы лента'!I23,IF('Исходные данные'!M20=2,'Задание Ножницы лента'!I23,IF('Исходные данные'!M20=3,'Задание Ножницы лента'!I23,IF('Исходные данные'!M20=4,"---",))))</f>
        <v>0</v>
      </c>
      <c r="AC22" s="213" t="str">
        <f>'Задание Ножницы лента'!M23</f>
        <v>---</v>
      </c>
      <c r="AD22" s="159" t="str">
        <f>IF('Исходные данные'!M20=1,"ВГ 111.00.00.003",IF('Исходные данные'!M20=3,"ВГ 111.00.00.003",IF('Исходные данные'!M20=2,"ВГ 050.00.00.005",IF('Исходные данные'!M20=4,"ВГ 050.00.00.005","---"))))</f>
        <v>---</v>
      </c>
      <c r="AE22" s="159" t="str">
        <f>'Задание на Trumpf'!Y21</f>
        <v>---</v>
      </c>
      <c r="AF22" s="159" t="str">
        <f t="shared" si="1"/>
        <v>---</v>
      </c>
      <c r="AG22" s="368">
        <f>IF(AE22&gt;0,'Исходные данные'!H20*2,0)</f>
        <v>0</v>
      </c>
      <c r="AH22" s="369" t="str">
        <f t="shared" si="2"/>
        <v>---</v>
      </c>
      <c r="AI22" s="366">
        <f>'Исходные данные'!H20</f>
        <v>0</v>
      </c>
      <c r="AJ22" s="508"/>
      <c r="AK22" s="509"/>
      <c r="AL22" s="119"/>
      <c r="AM22" s="506"/>
      <c r="AN22" s="364"/>
      <c r="AO22" s="356">
        <f t="shared" si="3"/>
        <v>0</v>
      </c>
      <c r="AP22" s="18"/>
      <c r="AQ22" s="356">
        <f t="shared" si="4"/>
        <v>0</v>
      </c>
      <c r="AR22" s="18" t="str">
        <f>IF('Исходные данные'!M20=2,IF((AND('Исходные данные'!F20&gt;485,'Исходные данные'!F20&lt;635)),3,IF((AND('Исходные данные'!F20&gt;635,'Исходные данные'!F20&lt;785)),4,IF((AND('Исходные данные'!F20&gt;785,'Исходные данные'!F20&lt;935)),5,IF((AND('Исходные данные'!F20&gt;935,'Исходные данные'!F20&lt;1085)),6,IF((AND('Исходные данные'!F20&gt;1085,'Исходные данные'!F20&lt;1235)),7,IF((AND('Исходные данные'!F20&gt;1235,'Исходные данные'!F20&lt;1385)),8,IF((AND('Исходные данные'!F20&gt;1385,'Исходные данные'!F20&lt;1535)),9,IF((AND('Исходные данные'!F20&gt;1535,'Исходные данные'!F20&lt;1685)),10,IF((AND('Исходные данные'!F20&gt;1685,'Исходные данные'!F20&lt;1835)),11,IF((AND('Исходные данные'!F20&gt;1835,'Исходные данные'!F20&lt;1985)),12,IF((AND('Исходные данные'!F20&gt;1985,'Исходные данные'!F20&lt;2135)),13,IF((AND('Исходные данные'!F20&gt;2135,'Исходные данные'!F20&lt;2285)),14,IF((AND('Исходные данные'!F20&gt;2285,'Исходные данные'!F20&lt;2435)),15,IF((AND('Исходные данные'!F20&gt;180,'Исходные данные'!F20&lt;315)),1,IF((AND('Исходные данные'!F20&gt;315,'Исходные данные'!F20&lt;485)),2,IF(('Исходные данные'!F20&lt;=180),1,0)))))))))))))))),IF(('Исходные данные'!T20=0),IF(((AND('Исходные данные'!F20&gt;=165,'Исходные данные'!F20&lt;301))),1,IF(((AND('Исходные данные'!F20&gt;=301,'Исходные данные'!F20&lt;441))),2,IF(((AND('Исходные данные'!F20&gt;=441,'Исходные данные'!F20&lt;581))),3,IF(((AND('Исходные данные'!F20&gt;=581,'Исходные данные'!F20&lt;721))),4,IF(((AND('Исходные данные'!F20&gt;=721,'Исходные данные'!F20&lt;861))),5,IF(((AND('Исходные данные'!F20&gt;=861,'Исходные данные'!F20&lt;1000))),6,IF(((AND('Исходные данные'!F20&gt;=1000,'Исходные данные'!F20&lt;1141))),7,IF(((AND('Исходные данные'!F20&gt;=1141,'Исходные данные'!F20&lt;1281))),8,IF(((AND('Исходные данные'!F20&gt;=1281,'Исходные данные'!F20&lt;1421))),9,IF(((AND('Исходные данные'!F20&gt;=1421,'Исходные данные'!F20&lt;1561))),10,IF(((AND('Исходные данные'!F20&gt;=1561,'Исходные данные'!F20&lt;1701))),11,IF(((AND('Исходные данные'!F20&gt;=1701,'Исходные данные'!F20&lt;1841))),12,IF(((AND('Исходные данные'!F20&gt;=1841,'Исходные данные'!F20&lt;1981))),13,IF(((AND('Исходные данные'!F20&gt;=1981,'Исходные данные'!F20&lt;2121))),14,IF(((AND('Исходные данные'!F20&gt;=2121,'Исходные данные'!F20&lt;2261))),15,IF(((AND('Исходные данные'!F20&gt;=2261,'Исходные данные'!F20&lt;2400))),16,IF(((AND('Исходные данные'!F20&gt;=2400,'Исходные данные'!F20&lt;2410))),17,"---"))))))))))))))))),IF('Исходные данные'!M20=4,IF((AND('Исходные данные'!F20&gt;485,'Исходные данные'!F20&lt;635)),3,IF((AND('Исходные данные'!F20&gt;635,'Исходные данные'!F20&lt;785)),4,IF((AND('Исходные данные'!F20&gt;785,'Исходные данные'!F20&lt;935)),5,IF((AND('Исходные данные'!F20&gt;935,'Исходные данные'!F20&lt;1085)),6,IF((AND('Исходные данные'!F20&gt;1085,'Исходные данные'!F20&lt;1235)),7,IF((AND('Исходные данные'!F20&gt;1235,'Исходные данные'!F20&lt;1385)),8,IF((AND('Исходные данные'!F20&gt;1385,'Исходные данные'!F20&lt;1535)),9,IF((AND('Исходные данные'!F20&gt;1535,'Исходные данные'!F20&lt;1685)),10,IF((AND('Исходные данные'!F20&gt;1685,'Исходные данные'!F20&lt;1835)),11,IF((AND('Исходные данные'!F20&gt;1835,'Исходные данные'!F20&lt;1985)),12,IF((AND('Исходные данные'!F20&gt;1985,'Исходные данные'!F20&lt;2135)),13,IF((AND('Исходные данные'!F20&gt;2135,'Исходные данные'!F20&lt;2285)),14,IF((AND('Исходные данные'!F20&gt;2285,'Исходные данные'!F20&lt;2435)),15,IF((AND('Исходные данные'!F20&gt;180,'Исходные данные'!F20&lt;315)),1,IF((AND('Исходные данные'!F20&gt;315,'Исходные данные'!F20&lt;485)),2,IF(('Исходные данные'!F20&lt;=180),1,0)))))))))))))))),IF(('Исходные данные'!T20=0),IF(((AND('Исходные данные'!F20&gt;=165,'Исходные данные'!F20&lt;301))),1,IF(((AND('Исходные данные'!F20&gt;=301,'Исходные данные'!F20&lt;441))),2,IF(((AND('Исходные данные'!F20&gt;=441,'Исходные данные'!F20&lt;581))),3,IF(((AND('Исходные данные'!F20&gt;=581,'Исходные данные'!F20&lt;721))),4,IF(((AND('Исходные данные'!F20&gt;=721,'Исходные данные'!F20&lt;861))),5,IF(((AND('Исходные данные'!F20&gt;=861,'Исходные данные'!F20&lt;1000))),6,IF(((AND('Исходные данные'!F20&gt;=1000,'Исходные данные'!F20&lt;1141))),7,IF(((AND('Исходные данные'!F20&gt;=1141,'Исходные данные'!F20&lt;1281))),8,IF(((AND('Исходные данные'!F20&gt;=1281,'Исходные данные'!F20&lt;1421))),9,IF(((AND('Исходные данные'!F20&gt;=1421,'Исходные данные'!F20&lt;1561))),10,IF(((AND('Исходные данные'!F20&gt;=1561,'Исходные данные'!F20&lt;1701))),11,IF(((AND('Исходные данные'!F20&gt;=1701,'Исходные данные'!F20&lt;1841))),12,IF(((AND('Исходные данные'!F20&gt;=1841,'Исходные данные'!F20&lt;1981))),13,IF(((AND('Исходные данные'!F20&gt;=1981,'Исходные данные'!F20&lt;2121))),14,IF(((AND('Исходные данные'!F20&gt;=2121,'Исходные данные'!F20&lt;2261))),15,IF(((AND('Исходные данные'!F20&gt;=2261,'Исходные данные'!F20&lt;2400))),16,IF(((AND('Исходные данные'!F20&gt;=2400,'Исходные данные'!F20&lt;2410))),17,"---"))))))))))))))))),"----"))))</f>
        <v>----</v>
      </c>
      <c r="AS22" s="363">
        <f t="shared" si="5"/>
        <v>0</v>
      </c>
      <c r="AT22" s="363">
        <f>AS22*'Исходные данные'!H20</f>
        <v>0</v>
      </c>
      <c r="AU22" s="363">
        <f>IF('Исходные данные'!I20&lt;=140,0.013,IF('Исходные данные'!I20&lt;=290,0.021,IF('Исходные данные'!I20&gt;=300,0.042,0)))</f>
        <v>4.2000000000000003E-2</v>
      </c>
      <c r="AV22" s="363">
        <f t="shared" si="6"/>
        <v>0</v>
      </c>
      <c r="AW22" s="365">
        <f t="shared" si="7"/>
        <v>0</v>
      </c>
      <c r="AX22" s="363"/>
      <c r="AY22" s="465">
        <f>IF(X22="комплект кожухов",'Исходные данные'!H20,0)</f>
        <v>0</v>
      </c>
      <c r="AZ22" s="465"/>
      <c r="BA22" s="359">
        <f t="shared" si="8"/>
        <v>0</v>
      </c>
      <c r="BB22">
        <f>'Исходные данные'!M20</f>
        <v>0</v>
      </c>
      <c r="BC22">
        <f>IF(BB22=1,IF('Исходные данные'!F20&lt;=1000,0.017*2,IF('Исходные данные'!F20&lt;=2000,0.022*2,IF('Исходные данные'!F20&gt;2000,0.028*2,0))),IF(BB22=2,IF('Исходные данные'!F20&lt;=1000,0.017*2,IF('Исходные данные'!F20&lt;=2000,0.022*2,IF('Исходные данные'!F20&gt;2000,0.028*2,0))),IF(BB22=3,IF('Исходные данные'!F20&lt;=1000,0.017*2,IF('Исходные данные'!F20&lt;=2000,0.022*2,IF('Исходные данные'!F20&gt;2000,0.028*2,0))),0)))</f>
        <v>0</v>
      </c>
      <c r="BD22" s="356">
        <f>BC22*'Исходные данные'!H20</f>
        <v>0</v>
      </c>
      <c r="BE22" s="18">
        <f>'Труматик гермики'!P21</f>
        <v>0</v>
      </c>
      <c r="BF22" s="18">
        <f t="shared" si="9"/>
        <v>0</v>
      </c>
      <c r="BG22">
        <f t="shared" si="10"/>
        <v>0</v>
      </c>
      <c r="BH22" s="356">
        <f>BG22*'Исходные данные'!H20</f>
        <v>0</v>
      </c>
      <c r="BI22">
        <f>IF(F22="Регуляр",IF(BB22=1,0.022*'Труматик гермики'!AB21,0),0)</f>
        <v>0</v>
      </c>
      <c r="BJ22" s="356">
        <f>BI22*'Исходные данные'!H20</f>
        <v>0</v>
      </c>
      <c r="BK22">
        <f t="shared" si="11"/>
        <v>0</v>
      </c>
      <c r="BL22">
        <f t="shared" si="12"/>
        <v>0</v>
      </c>
      <c r="BM22">
        <f>IF(BL22=3,0.006*2*'Исходные данные'!H20,IF(BL22=4,0.006*1.2*2*'Исходные данные'!H20,IF(BL22=5,IF('Исходные данные'!G20&lt;=290,0.006*2*'Исходные данные'!H20,0.012*2*'Исходные данные'!H20),IF(BL22=6,IF('Исходные данные'!G20&lt;=290,0.006*1.2*2*'Исходные данные'!H20,0.012*1.2*2*'Исходные данные'!H20),0))))</f>
        <v>0</v>
      </c>
      <c r="BN22">
        <f t="shared" si="13"/>
        <v>0</v>
      </c>
      <c r="BO22" s="359">
        <f t="shared" si="14"/>
        <v>0</v>
      </c>
      <c r="BP22">
        <f t="shared" si="15"/>
        <v>0</v>
      </c>
      <c r="BQ22">
        <f>IF(AH22="ОЦ",IF('Исходные данные'!F20&lt;=2000,0.012,IF('Исходные данные'!F20&gt;2000,0.018,0)),IF(AH22="нерж",IF('Исходные данные'!F20&lt;=2000,0.012*1.2,IF('Исходные данные'!F20&gt;2000,0.018*1.2,0)),0))</f>
        <v>0</v>
      </c>
      <c r="BR22" s="356">
        <f t="shared" si="16"/>
        <v>0</v>
      </c>
    </row>
    <row r="23" spans="1:70" ht="21.75" customHeight="1" thickBot="1">
      <c r="D23" s="142" t="s">
        <v>297</v>
      </c>
      <c r="E23" s="178">
        <f>'Исходные данные'!B21</f>
        <v>0</v>
      </c>
      <c r="F23" s="157">
        <f>'Исходные данные'!C21</f>
        <v>0</v>
      </c>
      <c r="G23" s="157">
        <f>'Исходные данные'!D21</f>
        <v>0</v>
      </c>
      <c r="H23" s="157">
        <f>'Исходные данные'!F21</f>
        <v>0</v>
      </c>
      <c r="I23" s="157" t="str">
        <f>'Труматик гермики'!E22</f>
        <v>--</v>
      </c>
      <c r="J23" s="157">
        <f>'Исходные данные'!K21</f>
        <v>0</v>
      </c>
      <c r="K23" s="157">
        <f>'Исходные данные'!G21</f>
        <v>0</v>
      </c>
      <c r="L23" s="157" t="str">
        <f>'Труматик гермики'!E22</f>
        <v>--</v>
      </c>
      <c r="M23" s="157">
        <f>'Исходные данные'!K21</f>
        <v>0</v>
      </c>
      <c r="N23" s="157">
        <f>'Исходные данные'!H21</f>
        <v>0</v>
      </c>
      <c r="O23" s="159">
        <f>'Исходные данные'!F21</f>
        <v>0</v>
      </c>
      <c r="P23" s="159">
        <f>IF('Исходные данные'!H21&gt;0,'Исходные данные'!H21*2,0)</f>
        <v>0</v>
      </c>
      <c r="Q23" s="159">
        <f>'Исходные данные'!G21</f>
        <v>0</v>
      </c>
      <c r="R23" s="159">
        <f>IF('Исходные данные'!H21&gt;0,'Исходные данные'!H21*2,0)</f>
        <v>0</v>
      </c>
      <c r="S23" s="159">
        <f>'Исходные данные'!K21</f>
        <v>0</v>
      </c>
      <c r="T23" s="159" t="str">
        <f>'Задание на Trumpf'!S22</f>
        <v>---</v>
      </c>
      <c r="U23" s="159">
        <f>'Труматик гермики'!Q22</f>
        <v>0</v>
      </c>
      <c r="V23" s="159">
        <f>IF(U23="-----",0,'Задание на гибку'!U23*'Исходные данные'!H21)</f>
        <v>0</v>
      </c>
      <c r="W23" s="159" t="str">
        <f>IF('Исходные данные'!L21=1,"ОЦ",IF('Исходные данные'!L21=2,"нерж",IF('Исходные данные'!L21=3,"ОЦ",IF('Исходные данные'!L21=4,"ОЦ","---"))))</f>
        <v>---</v>
      </c>
      <c r="X23" s="507" t="str">
        <f>IF('Исходные данные'!M21=1,"Комплект кожухов","___")</f>
        <v>___</v>
      </c>
      <c r="Y23" s="507"/>
      <c r="Z23" s="213">
        <f>'Исходные данные'!K21</f>
        <v>0</v>
      </c>
      <c r="AA23" s="159" t="str">
        <f t="shared" si="0"/>
        <v>---</v>
      </c>
      <c r="AB23" s="213">
        <f>IF('Исходные данные'!M21=1,'Задание Ножницы лента'!I24,IF('Исходные данные'!M21=2,'Задание Ножницы лента'!I24,IF('Исходные данные'!M21=3,'Задание Ножницы лента'!I24,IF('Исходные данные'!M21=4,"---",))))</f>
        <v>0</v>
      </c>
      <c r="AC23" s="213" t="str">
        <f>'Задание Ножницы лента'!M24</f>
        <v>---</v>
      </c>
      <c r="AD23" s="159" t="str">
        <f>IF('Исходные данные'!M21=1,"ВГ 111.00.00.003",IF('Исходные данные'!M21=3,"ВГ 111.00.00.003",IF('Исходные данные'!M21=2,"ВГ 050.00.00.005",IF('Исходные данные'!M21=4,"ВГ 050.00.00.005","---"))))</f>
        <v>---</v>
      </c>
      <c r="AE23" s="159" t="str">
        <f>'Задание на Trumpf'!Y22</f>
        <v>---</v>
      </c>
      <c r="AF23" s="159" t="str">
        <f t="shared" si="1"/>
        <v>---</v>
      </c>
      <c r="AG23" s="368">
        <f>IF(AE23&gt;0,'Исходные данные'!H21*2,0)</f>
        <v>0</v>
      </c>
      <c r="AH23" s="369" t="str">
        <f t="shared" si="2"/>
        <v>---</v>
      </c>
      <c r="AI23" s="366">
        <f>'Исходные данные'!H21</f>
        <v>0</v>
      </c>
      <c r="AL23" s="119"/>
      <c r="AM23" s="506"/>
      <c r="AN23" s="364"/>
      <c r="AO23" s="356">
        <f t="shared" si="3"/>
        <v>0</v>
      </c>
      <c r="AP23" s="18"/>
      <c r="AQ23" s="356">
        <f t="shared" si="4"/>
        <v>0</v>
      </c>
      <c r="AR23" s="18" t="str">
        <f>IF('Исходные данные'!M21=2,IF((AND('Исходные данные'!F21&gt;485,'Исходные данные'!F21&lt;635)),3,IF((AND('Исходные данные'!F21&gt;635,'Исходные данные'!F21&lt;785)),4,IF((AND('Исходные данные'!F21&gt;785,'Исходные данные'!F21&lt;935)),5,IF((AND('Исходные данные'!F21&gt;935,'Исходные данные'!F21&lt;1085)),6,IF((AND('Исходные данные'!F21&gt;1085,'Исходные данные'!F21&lt;1235)),7,IF((AND('Исходные данные'!F21&gt;1235,'Исходные данные'!F21&lt;1385)),8,IF((AND('Исходные данные'!F21&gt;1385,'Исходные данные'!F21&lt;1535)),9,IF((AND('Исходные данные'!F21&gt;1535,'Исходные данные'!F21&lt;1685)),10,IF((AND('Исходные данные'!F21&gt;1685,'Исходные данные'!F21&lt;1835)),11,IF((AND('Исходные данные'!F21&gt;1835,'Исходные данные'!F21&lt;1985)),12,IF((AND('Исходные данные'!F21&gt;1985,'Исходные данные'!F21&lt;2135)),13,IF((AND('Исходные данные'!F21&gt;2135,'Исходные данные'!F21&lt;2285)),14,IF((AND('Исходные данные'!F21&gt;2285,'Исходные данные'!F21&lt;2435)),15,IF((AND('Исходные данные'!F21&gt;180,'Исходные данные'!F21&lt;315)),1,IF((AND('Исходные данные'!F21&gt;315,'Исходные данные'!F21&lt;485)),2,IF(('Исходные данные'!F21&lt;=180),1,0)))))))))))))))),IF(('Исходные данные'!T21=0),IF(((AND('Исходные данные'!F21&gt;=165,'Исходные данные'!F21&lt;301))),1,IF(((AND('Исходные данные'!F21&gt;=301,'Исходные данные'!F21&lt;441))),2,IF(((AND('Исходные данные'!F21&gt;=441,'Исходные данные'!F21&lt;581))),3,IF(((AND('Исходные данные'!F21&gt;=581,'Исходные данные'!F21&lt;721))),4,IF(((AND('Исходные данные'!F21&gt;=721,'Исходные данные'!F21&lt;861))),5,IF(((AND('Исходные данные'!F21&gt;=861,'Исходные данные'!F21&lt;1000))),6,IF(((AND('Исходные данные'!F21&gt;=1000,'Исходные данные'!F21&lt;1141))),7,IF(((AND('Исходные данные'!F21&gt;=1141,'Исходные данные'!F21&lt;1281))),8,IF(((AND('Исходные данные'!F21&gt;=1281,'Исходные данные'!F21&lt;1421))),9,IF(((AND('Исходные данные'!F21&gt;=1421,'Исходные данные'!F21&lt;1561))),10,IF(((AND('Исходные данные'!F21&gt;=1561,'Исходные данные'!F21&lt;1701))),11,IF(((AND('Исходные данные'!F21&gt;=1701,'Исходные данные'!F21&lt;1841))),12,IF(((AND('Исходные данные'!F21&gt;=1841,'Исходные данные'!F21&lt;1981))),13,IF(((AND('Исходные данные'!F21&gt;=1981,'Исходные данные'!F21&lt;2121))),14,IF(((AND('Исходные данные'!F21&gt;=2121,'Исходные данные'!F21&lt;2261))),15,IF(((AND('Исходные данные'!F21&gt;=2261,'Исходные данные'!F21&lt;2400))),16,IF(((AND('Исходные данные'!F21&gt;=2400,'Исходные данные'!F21&lt;2410))),17,"---"))))))))))))))))),IF('Исходные данные'!M21=4,IF((AND('Исходные данные'!F21&gt;485,'Исходные данные'!F21&lt;635)),3,IF((AND('Исходные данные'!F21&gt;635,'Исходные данные'!F21&lt;785)),4,IF((AND('Исходные данные'!F21&gt;785,'Исходные данные'!F21&lt;935)),5,IF((AND('Исходные данные'!F21&gt;935,'Исходные данные'!F21&lt;1085)),6,IF((AND('Исходные данные'!F21&gt;1085,'Исходные данные'!F21&lt;1235)),7,IF((AND('Исходные данные'!F21&gt;1235,'Исходные данные'!F21&lt;1385)),8,IF((AND('Исходные данные'!F21&gt;1385,'Исходные данные'!F21&lt;1535)),9,IF((AND('Исходные данные'!F21&gt;1535,'Исходные данные'!F21&lt;1685)),10,IF((AND('Исходные данные'!F21&gt;1685,'Исходные данные'!F21&lt;1835)),11,IF((AND('Исходные данные'!F21&gt;1835,'Исходные данные'!F21&lt;1985)),12,IF((AND('Исходные данные'!F21&gt;1985,'Исходные данные'!F21&lt;2135)),13,IF((AND('Исходные данные'!F21&gt;2135,'Исходные данные'!F21&lt;2285)),14,IF((AND('Исходные данные'!F21&gt;2285,'Исходные данные'!F21&lt;2435)),15,IF((AND('Исходные данные'!F21&gt;180,'Исходные данные'!F21&lt;315)),1,IF((AND('Исходные данные'!F21&gt;315,'Исходные данные'!F21&lt;485)),2,IF(('Исходные данные'!F21&lt;=180),1,0)))))))))))))))),IF(('Исходные данные'!T21=0),IF(((AND('Исходные данные'!F21&gt;=165,'Исходные данные'!F21&lt;301))),1,IF(((AND('Исходные данные'!F21&gt;=301,'Исходные данные'!F21&lt;441))),2,IF(((AND('Исходные данные'!F21&gt;=441,'Исходные данные'!F21&lt;581))),3,IF(((AND('Исходные данные'!F21&gt;=581,'Исходные данные'!F21&lt;721))),4,IF(((AND('Исходные данные'!F21&gt;=721,'Исходные данные'!F21&lt;861))),5,IF(((AND('Исходные данные'!F21&gt;=861,'Исходные данные'!F21&lt;1000))),6,IF(((AND('Исходные данные'!F21&gt;=1000,'Исходные данные'!F21&lt;1141))),7,IF(((AND('Исходные данные'!F21&gt;=1141,'Исходные данные'!F21&lt;1281))),8,IF(((AND('Исходные данные'!F21&gt;=1281,'Исходные данные'!F21&lt;1421))),9,IF(((AND('Исходные данные'!F21&gt;=1421,'Исходные данные'!F21&lt;1561))),10,IF(((AND('Исходные данные'!F21&gt;=1561,'Исходные данные'!F21&lt;1701))),11,IF(((AND('Исходные данные'!F21&gt;=1701,'Исходные данные'!F21&lt;1841))),12,IF(((AND('Исходные данные'!F21&gt;=1841,'Исходные данные'!F21&lt;1981))),13,IF(((AND('Исходные данные'!F21&gt;=1981,'Исходные данные'!F21&lt;2121))),14,IF(((AND('Исходные данные'!F21&gt;=2121,'Исходные данные'!F21&lt;2261))),15,IF(((AND('Исходные данные'!F21&gt;=2261,'Исходные данные'!F21&lt;2400))),16,IF(((AND('Исходные данные'!F21&gt;=2400,'Исходные данные'!F21&lt;2410))),17,"---"))))))))))))))))),"----"))))</f>
        <v>----</v>
      </c>
      <c r="AS23" s="363">
        <f t="shared" si="5"/>
        <v>0</v>
      </c>
      <c r="AT23" s="363">
        <f>AS23*'Исходные данные'!H21</f>
        <v>0</v>
      </c>
      <c r="AU23" s="363">
        <f>IF('Исходные данные'!I21&lt;=140,0.013,IF('Исходные данные'!I21&lt;=290,0.021,IF('Исходные данные'!I21&gt;=300,0.042,0)))</f>
        <v>4.2000000000000003E-2</v>
      </c>
      <c r="AV23" s="363">
        <f t="shared" si="6"/>
        <v>0</v>
      </c>
      <c r="AW23" s="365">
        <f t="shared" si="7"/>
        <v>0</v>
      </c>
      <c r="AX23" s="363"/>
      <c r="AY23" s="465">
        <f>IF(X23="комплект кожухов",'Исходные данные'!H21,0)</f>
        <v>0</v>
      </c>
      <c r="AZ23" s="465"/>
      <c r="BA23" s="359">
        <f t="shared" si="8"/>
        <v>0</v>
      </c>
      <c r="BB23">
        <f>'Исходные данные'!M21</f>
        <v>0</v>
      </c>
      <c r="BC23">
        <f>IF(BB23=1,IF('Исходные данные'!F21&lt;=1000,0.017*2,IF('Исходные данные'!F21&lt;=2000,0.022*2,IF('Исходные данные'!F21&gt;2000,0.028*2,0))),IF(BB23=2,IF('Исходные данные'!F21&lt;=1000,0.017*2,IF('Исходные данные'!F21&lt;=2000,0.022*2,IF('Исходные данные'!F21&gt;2000,0.028*2,0))),IF(BB23=3,IF('Исходные данные'!F21&lt;=1000,0.017*2,IF('Исходные данные'!F21&lt;=2000,0.022*2,IF('Исходные данные'!F21&gt;2000,0.028*2,0))),0)))</f>
        <v>0</v>
      </c>
      <c r="BD23" s="356">
        <f>BC23*'Исходные данные'!H21</f>
        <v>0</v>
      </c>
      <c r="BE23" s="18">
        <f>'Труматик гермики'!P22</f>
        <v>0</v>
      </c>
      <c r="BF23" s="18">
        <f t="shared" si="9"/>
        <v>0</v>
      </c>
      <c r="BG23">
        <f t="shared" si="10"/>
        <v>0</v>
      </c>
      <c r="BH23" s="356">
        <f>BG23*'Исходные данные'!H21</f>
        <v>0</v>
      </c>
      <c r="BI23">
        <f>IF(F23="Регуляр",IF(BB23=1,0.022*'Труматик гермики'!AB22,0),0)</f>
        <v>0</v>
      </c>
      <c r="BJ23" s="356">
        <f>BI23*'Исходные данные'!H21</f>
        <v>0</v>
      </c>
      <c r="BK23">
        <f t="shared" si="11"/>
        <v>0</v>
      </c>
      <c r="BL23">
        <f t="shared" si="12"/>
        <v>0</v>
      </c>
      <c r="BM23">
        <f>IF(BL23=3,0.006*2*'Исходные данные'!H21,IF(BL23=4,0.006*1.2*2*'Исходные данные'!H21,IF(BL23=5,IF('Исходные данные'!G21&lt;=290,0.006*2*'Исходные данные'!H21,0.012*2*'Исходные данные'!H21),IF(BL23=6,IF('Исходные данные'!G21&lt;=290,0.006*1.2*2*'Исходные данные'!H21,0.012*1.2*2*'Исходные данные'!H21),0))))</f>
        <v>0</v>
      </c>
      <c r="BN23">
        <f t="shared" si="13"/>
        <v>0</v>
      </c>
      <c r="BO23" s="359">
        <f t="shared" si="14"/>
        <v>0</v>
      </c>
      <c r="BP23">
        <f t="shared" si="15"/>
        <v>0</v>
      </c>
      <c r="BQ23">
        <f>IF(AH23="ОЦ",IF('Исходные данные'!F21&lt;=2000,0.012,IF('Исходные данные'!F21&gt;2000,0.018,0)),IF(AH23="нерж",IF('Исходные данные'!F21&lt;=2000,0.012*1.2,IF('Исходные данные'!F21&gt;2000,0.018*1.2,0)),0))</f>
        <v>0</v>
      </c>
      <c r="BR23" s="356">
        <f t="shared" si="16"/>
        <v>0</v>
      </c>
    </row>
    <row r="24" spans="1:70" ht="21.75" customHeight="1" thickBot="1">
      <c r="D24" s="143" t="s">
        <v>298</v>
      </c>
      <c r="E24" s="178">
        <f>'Исходные данные'!B22</f>
        <v>0</v>
      </c>
      <c r="F24" s="157">
        <f>'Исходные данные'!C22</f>
        <v>0</v>
      </c>
      <c r="G24" s="157">
        <f>'Исходные данные'!D22</f>
        <v>0</v>
      </c>
      <c r="H24" s="157">
        <f>'Исходные данные'!F22</f>
        <v>0</v>
      </c>
      <c r="I24" s="157" t="str">
        <f>'Труматик гермики'!E23</f>
        <v>--</v>
      </c>
      <c r="J24" s="157">
        <f>'Исходные данные'!K22</f>
        <v>0</v>
      </c>
      <c r="K24" s="157">
        <f>'Исходные данные'!G22</f>
        <v>0</v>
      </c>
      <c r="L24" s="157" t="str">
        <f>'Труматик гермики'!E23</f>
        <v>--</v>
      </c>
      <c r="M24" s="157">
        <f>'Исходные данные'!K22</f>
        <v>0</v>
      </c>
      <c r="N24" s="157">
        <f>'Исходные данные'!H22</f>
        <v>0</v>
      </c>
      <c r="O24" s="159">
        <f>'Исходные данные'!F22</f>
        <v>0</v>
      </c>
      <c r="P24" s="159">
        <f>IF('Исходные данные'!H22&gt;0,'Исходные данные'!H22*2,0)</f>
        <v>0</v>
      </c>
      <c r="Q24" s="159">
        <f>'Исходные данные'!G22</f>
        <v>0</v>
      </c>
      <c r="R24" s="159">
        <f>IF('Исходные данные'!H22&gt;0,'Исходные данные'!H22*2,0)</f>
        <v>0</v>
      </c>
      <c r="S24" s="159">
        <f>'Исходные данные'!K22</f>
        <v>0</v>
      </c>
      <c r="T24" s="159" t="str">
        <f>'Задание на Trumpf'!S23</f>
        <v>---</v>
      </c>
      <c r="U24" s="159">
        <f>'Труматик гермики'!Q23</f>
        <v>0</v>
      </c>
      <c r="V24" s="159">
        <f>IF(U24="-----",0,'Задание на гибку'!U24*'Исходные данные'!H22)</f>
        <v>0</v>
      </c>
      <c r="W24" s="159" t="str">
        <f>IF('Исходные данные'!L22=1,"ОЦ",IF('Исходные данные'!L22=2,"нерж",IF('Исходные данные'!L22=3,"ОЦ",IF('Исходные данные'!L22=4,"ОЦ","---"))))</f>
        <v>---</v>
      </c>
      <c r="X24" s="507" t="str">
        <f>IF('Исходные данные'!M22=1,"Комплект кожухов","___")</f>
        <v>___</v>
      </c>
      <c r="Y24" s="507"/>
      <c r="Z24" s="213">
        <f>'Исходные данные'!K22</f>
        <v>0</v>
      </c>
      <c r="AA24" s="159" t="str">
        <f t="shared" si="0"/>
        <v>---</v>
      </c>
      <c r="AB24" s="213">
        <f>IF('Исходные данные'!M22=1,'Задание Ножницы лента'!I25,IF('Исходные данные'!M22=2,'Задание Ножницы лента'!I25,IF('Исходные данные'!M22=3,'Задание Ножницы лента'!I25,IF('Исходные данные'!M22=4,"---",))))</f>
        <v>0</v>
      </c>
      <c r="AC24" s="213" t="str">
        <f>'Задание Ножницы лента'!M25</f>
        <v>---</v>
      </c>
      <c r="AD24" s="159" t="str">
        <f>IF('Исходные данные'!M22=1,"ВГ 111.00.00.003",IF('Исходные данные'!M22=3,"ВГ 111.00.00.003",IF('Исходные данные'!M22=2,"ВГ 050.00.00.005",IF('Исходные данные'!M22=4,"ВГ 050.00.00.005","---"))))</f>
        <v>---</v>
      </c>
      <c r="AE24" s="159" t="str">
        <f>'Задание на Trumpf'!Y23</f>
        <v>---</v>
      </c>
      <c r="AF24" s="159" t="str">
        <f t="shared" si="1"/>
        <v>---</v>
      </c>
      <c r="AG24" s="368">
        <f>IF(AE24&gt;0,'Исходные данные'!H22*2,0)</f>
        <v>0</v>
      </c>
      <c r="AH24" s="369" t="str">
        <f t="shared" si="2"/>
        <v>---</v>
      </c>
      <c r="AI24" s="366">
        <f>'Исходные данные'!H22</f>
        <v>0</v>
      </c>
      <c r="AL24" s="34"/>
      <c r="AM24" s="34"/>
      <c r="AN24" s="167"/>
      <c r="AO24" s="356">
        <f t="shared" si="3"/>
        <v>0</v>
      </c>
      <c r="AP24" s="18"/>
      <c r="AQ24" s="356">
        <f t="shared" si="4"/>
        <v>0</v>
      </c>
      <c r="AR24" s="18" t="str">
        <f>IF('Исходные данные'!M22=2,IF((AND('Исходные данные'!F22&gt;485,'Исходные данные'!F22&lt;635)),3,IF((AND('Исходные данные'!F22&gt;635,'Исходные данные'!F22&lt;785)),4,IF((AND('Исходные данные'!F22&gt;785,'Исходные данные'!F22&lt;935)),5,IF((AND('Исходные данные'!F22&gt;935,'Исходные данные'!F22&lt;1085)),6,IF((AND('Исходные данные'!F22&gt;1085,'Исходные данные'!F22&lt;1235)),7,IF((AND('Исходные данные'!F22&gt;1235,'Исходные данные'!F22&lt;1385)),8,IF((AND('Исходные данные'!F22&gt;1385,'Исходные данные'!F22&lt;1535)),9,IF((AND('Исходные данные'!F22&gt;1535,'Исходные данные'!F22&lt;1685)),10,IF((AND('Исходные данные'!F22&gt;1685,'Исходные данные'!F22&lt;1835)),11,IF((AND('Исходные данные'!F22&gt;1835,'Исходные данные'!F22&lt;1985)),12,IF((AND('Исходные данные'!F22&gt;1985,'Исходные данные'!F22&lt;2135)),13,IF((AND('Исходные данные'!F22&gt;2135,'Исходные данные'!F22&lt;2285)),14,IF((AND('Исходные данные'!F22&gt;2285,'Исходные данные'!F22&lt;2435)),15,IF((AND('Исходные данные'!F22&gt;180,'Исходные данные'!F22&lt;315)),1,IF((AND('Исходные данные'!F22&gt;315,'Исходные данные'!F22&lt;485)),2,IF(('Исходные данные'!F22&lt;=180),1,0)))))))))))))))),IF(('Исходные данные'!T22=0),IF(((AND('Исходные данные'!F22&gt;=165,'Исходные данные'!F22&lt;301))),1,IF(((AND('Исходные данные'!F22&gt;=301,'Исходные данные'!F22&lt;441))),2,IF(((AND('Исходные данные'!F22&gt;=441,'Исходные данные'!F22&lt;581))),3,IF(((AND('Исходные данные'!F22&gt;=581,'Исходные данные'!F22&lt;721))),4,IF(((AND('Исходные данные'!F22&gt;=721,'Исходные данные'!F22&lt;861))),5,IF(((AND('Исходные данные'!F22&gt;=861,'Исходные данные'!F22&lt;1000))),6,IF(((AND('Исходные данные'!F22&gt;=1000,'Исходные данные'!F22&lt;1141))),7,IF(((AND('Исходные данные'!F22&gt;=1141,'Исходные данные'!F22&lt;1281))),8,IF(((AND('Исходные данные'!F22&gt;=1281,'Исходные данные'!F22&lt;1421))),9,IF(((AND('Исходные данные'!F22&gt;=1421,'Исходные данные'!F22&lt;1561))),10,IF(((AND('Исходные данные'!F22&gt;=1561,'Исходные данные'!F22&lt;1701))),11,IF(((AND('Исходные данные'!F22&gt;=1701,'Исходные данные'!F22&lt;1841))),12,IF(((AND('Исходные данные'!F22&gt;=1841,'Исходные данные'!F22&lt;1981))),13,IF(((AND('Исходные данные'!F22&gt;=1981,'Исходные данные'!F22&lt;2121))),14,IF(((AND('Исходные данные'!F22&gt;=2121,'Исходные данные'!F22&lt;2261))),15,IF(((AND('Исходные данные'!F22&gt;=2261,'Исходные данные'!F22&lt;2400))),16,IF(((AND('Исходные данные'!F22&gt;=2400,'Исходные данные'!F22&lt;2410))),17,"---"))))))))))))))))),IF('Исходные данные'!M22=4,IF((AND('Исходные данные'!F22&gt;485,'Исходные данные'!F22&lt;635)),3,IF((AND('Исходные данные'!F22&gt;635,'Исходные данные'!F22&lt;785)),4,IF((AND('Исходные данные'!F22&gt;785,'Исходные данные'!F22&lt;935)),5,IF((AND('Исходные данные'!F22&gt;935,'Исходные данные'!F22&lt;1085)),6,IF((AND('Исходные данные'!F22&gt;1085,'Исходные данные'!F22&lt;1235)),7,IF((AND('Исходные данные'!F22&gt;1235,'Исходные данные'!F22&lt;1385)),8,IF((AND('Исходные данные'!F22&gt;1385,'Исходные данные'!F22&lt;1535)),9,IF((AND('Исходные данные'!F22&gt;1535,'Исходные данные'!F22&lt;1685)),10,IF((AND('Исходные данные'!F22&gt;1685,'Исходные данные'!F22&lt;1835)),11,IF((AND('Исходные данные'!F22&gt;1835,'Исходные данные'!F22&lt;1985)),12,IF((AND('Исходные данные'!F22&gt;1985,'Исходные данные'!F22&lt;2135)),13,IF((AND('Исходные данные'!F22&gt;2135,'Исходные данные'!F22&lt;2285)),14,IF((AND('Исходные данные'!F22&gt;2285,'Исходные данные'!F22&lt;2435)),15,IF((AND('Исходные данные'!F22&gt;180,'Исходные данные'!F22&lt;315)),1,IF((AND('Исходные данные'!F22&gt;315,'Исходные данные'!F22&lt;485)),2,IF(('Исходные данные'!F22&lt;=180),1,0)))))))))))))))),IF(('Исходные данные'!T22=0),IF(((AND('Исходные данные'!F22&gt;=165,'Исходные данные'!F22&lt;301))),1,IF(((AND('Исходные данные'!F22&gt;=301,'Исходные данные'!F22&lt;441))),2,IF(((AND('Исходные данные'!F22&gt;=441,'Исходные данные'!F22&lt;581))),3,IF(((AND('Исходные данные'!F22&gt;=581,'Исходные данные'!F22&lt;721))),4,IF(((AND('Исходные данные'!F22&gt;=721,'Исходные данные'!F22&lt;861))),5,IF(((AND('Исходные данные'!F22&gt;=861,'Исходные данные'!F22&lt;1000))),6,IF(((AND('Исходные данные'!F22&gt;=1000,'Исходные данные'!F22&lt;1141))),7,IF(((AND('Исходные данные'!F22&gt;=1141,'Исходные данные'!F22&lt;1281))),8,IF(((AND('Исходные данные'!F22&gt;=1281,'Исходные данные'!F22&lt;1421))),9,IF(((AND('Исходные данные'!F22&gt;=1421,'Исходные данные'!F22&lt;1561))),10,IF(((AND('Исходные данные'!F22&gt;=1561,'Исходные данные'!F22&lt;1701))),11,IF(((AND('Исходные данные'!F22&gt;=1701,'Исходные данные'!F22&lt;1841))),12,IF(((AND('Исходные данные'!F22&gt;=1841,'Исходные данные'!F22&lt;1981))),13,IF(((AND('Исходные данные'!F22&gt;=1981,'Исходные данные'!F22&lt;2121))),14,IF(((AND('Исходные данные'!F22&gt;=2121,'Исходные данные'!F22&lt;2261))),15,IF(((AND('Исходные данные'!F22&gt;=2261,'Исходные данные'!F22&lt;2400))),16,IF(((AND('Исходные данные'!F22&gt;=2400,'Исходные данные'!F22&lt;2410))),17,"---"))))))))))))))))),"----"))))</f>
        <v>----</v>
      </c>
      <c r="AS24" s="363">
        <f t="shared" si="5"/>
        <v>0</v>
      </c>
      <c r="AT24" s="363">
        <f>AS24*'Исходные данные'!H22</f>
        <v>0</v>
      </c>
      <c r="AU24" s="363">
        <f>IF('Исходные данные'!I22&lt;=140,0.013,IF('Исходные данные'!I22&lt;=290,0.021,IF('Исходные данные'!I22&gt;=300,0.042,0)))</f>
        <v>4.2000000000000003E-2</v>
      </c>
      <c r="AV24" s="363">
        <f t="shared" si="6"/>
        <v>0</v>
      </c>
      <c r="AW24" s="365">
        <f t="shared" si="7"/>
        <v>0</v>
      </c>
      <c r="AX24" s="363"/>
      <c r="AY24" s="465">
        <f>IF(X24="комплект кожухов",'Исходные данные'!H22,0)</f>
        <v>0</v>
      </c>
      <c r="AZ24" s="465"/>
      <c r="BA24" s="359">
        <f t="shared" si="8"/>
        <v>0</v>
      </c>
      <c r="BB24">
        <f>'Исходные данные'!M22</f>
        <v>0</v>
      </c>
      <c r="BC24">
        <f>IF(BB24=1,IF('Исходные данные'!F22&lt;=1000,0.017*2,IF('Исходные данные'!F22&lt;=2000,0.022*2,IF('Исходные данные'!F22&gt;2000,0.028*2,0))),IF(BB24=2,IF('Исходные данные'!F22&lt;=1000,0.017*2,IF('Исходные данные'!F22&lt;=2000,0.022*2,IF('Исходные данные'!F22&gt;2000,0.028*2,0))),IF(BB24=3,IF('Исходные данные'!F22&lt;=1000,0.017*2,IF('Исходные данные'!F22&lt;=2000,0.022*2,IF('Исходные данные'!F22&gt;2000,0.028*2,0))),0)))</f>
        <v>0</v>
      </c>
      <c r="BD24" s="356">
        <f>BC24*'Исходные данные'!H22</f>
        <v>0</v>
      </c>
      <c r="BE24" s="18">
        <f>'Труматик гермики'!P23</f>
        <v>0</v>
      </c>
      <c r="BF24" s="18">
        <f t="shared" si="9"/>
        <v>0</v>
      </c>
      <c r="BG24">
        <f t="shared" si="10"/>
        <v>0</v>
      </c>
      <c r="BH24" s="356">
        <f>BG24*'Исходные данные'!H22</f>
        <v>0</v>
      </c>
      <c r="BI24">
        <f>IF(F24="Регуляр",IF(BB24=1,0.022*'Труматик гермики'!AB23,0),0)</f>
        <v>0</v>
      </c>
      <c r="BJ24" s="356">
        <f>BI24*'Исходные данные'!H22</f>
        <v>0</v>
      </c>
      <c r="BK24">
        <f t="shared" si="11"/>
        <v>0</v>
      </c>
      <c r="BL24">
        <f t="shared" si="12"/>
        <v>0</v>
      </c>
      <c r="BM24">
        <f>IF(BL24=3,0.006*2*'Исходные данные'!H22,IF(BL24=4,0.006*1.2*2*'Исходные данные'!H22,IF(BL24=5,IF('Исходные данные'!G22&lt;=290,0.006*2*'Исходные данные'!H22,0.012*2*'Исходные данные'!H22),IF(BL24=6,IF('Исходные данные'!G22&lt;=290,0.006*1.2*2*'Исходные данные'!H22,0.012*1.2*2*'Исходные данные'!H22),0))))</f>
        <v>0</v>
      </c>
      <c r="BN24">
        <f t="shared" si="13"/>
        <v>0</v>
      </c>
      <c r="BO24" s="359">
        <f t="shared" si="14"/>
        <v>0</v>
      </c>
      <c r="BP24">
        <f t="shared" si="15"/>
        <v>0</v>
      </c>
      <c r="BQ24">
        <f>IF(AH24="ОЦ",IF('Исходные данные'!F22&lt;=2000,0.012,IF('Исходные данные'!F22&gt;2000,0.018,0)),IF(AH24="нерж",IF('Исходные данные'!F22&lt;=2000,0.012*1.2,IF('Исходные данные'!F22&gt;2000,0.018*1.2,0)),0))</f>
        <v>0</v>
      </c>
      <c r="BR24" s="356">
        <f t="shared" si="16"/>
        <v>0</v>
      </c>
    </row>
    <row r="25" spans="1:70" ht="21.75" customHeight="1" thickBot="1">
      <c r="D25" s="143" t="s">
        <v>299</v>
      </c>
      <c r="E25" s="178">
        <f>'Исходные данные'!B23</f>
        <v>0</v>
      </c>
      <c r="F25" s="157">
        <f>'Исходные данные'!C23</f>
        <v>0</v>
      </c>
      <c r="G25" s="157">
        <f>'Исходные данные'!D23</f>
        <v>0</v>
      </c>
      <c r="H25" s="157">
        <f>'Исходные данные'!F23</f>
        <v>0</v>
      </c>
      <c r="I25" s="157" t="str">
        <f>'Труматик гермики'!E24</f>
        <v>--</v>
      </c>
      <c r="J25" s="157">
        <f>'Исходные данные'!K23</f>
        <v>0</v>
      </c>
      <c r="K25" s="157">
        <f>'Исходные данные'!G23</f>
        <v>0</v>
      </c>
      <c r="L25" s="157" t="str">
        <f>'Труматик гермики'!E24</f>
        <v>--</v>
      </c>
      <c r="M25" s="157">
        <f>'Исходные данные'!K23</f>
        <v>0</v>
      </c>
      <c r="N25" s="157">
        <f>'Исходные данные'!H23</f>
        <v>0</v>
      </c>
      <c r="O25" s="159">
        <f>'Исходные данные'!F23</f>
        <v>0</v>
      </c>
      <c r="P25" s="159">
        <f>IF('Исходные данные'!H23&gt;0,'Исходные данные'!H23*2,0)</f>
        <v>0</v>
      </c>
      <c r="Q25" s="159">
        <f>'Исходные данные'!G23</f>
        <v>0</v>
      </c>
      <c r="R25" s="159">
        <f>IF('Исходные данные'!H23&gt;0,'Исходные данные'!H23*2,0)</f>
        <v>0</v>
      </c>
      <c r="S25" s="159">
        <f>'Исходные данные'!K23</f>
        <v>0</v>
      </c>
      <c r="T25" s="159" t="str">
        <f>'Задание на Trumpf'!S24</f>
        <v>---</v>
      </c>
      <c r="U25" s="159">
        <f>'Труматик гермики'!Q24</f>
        <v>0</v>
      </c>
      <c r="V25" s="159">
        <f>IF(U25="-----",0,'Задание на гибку'!U25*'Исходные данные'!H23)</f>
        <v>0</v>
      </c>
      <c r="W25" s="159" t="str">
        <f>IF('Исходные данные'!L23=1,"ОЦ",IF('Исходные данные'!L23=2,"нерж",IF('Исходные данные'!L23=3,"ОЦ",IF('Исходные данные'!L23=4,"ОЦ","---"))))</f>
        <v>---</v>
      </c>
      <c r="X25" s="507" t="str">
        <f>IF('Исходные данные'!M23=1,"Комплект кожухов","___")</f>
        <v>___</v>
      </c>
      <c r="Y25" s="507"/>
      <c r="Z25" s="213">
        <f>'Исходные данные'!K23</f>
        <v>0</v>
      </c>
      <c r="AA25" s="159" t="str">
        <f t="shared" si="0"/>
        <v>---</v>
      </c>
      <c r="AB25" s="213">
        <f>IF('Исходные данные'!M23=1,'Задание Ножницы лента'!I26,IF('Исходные данные'!M23=2,'Задание Ножницы лента'!I26,IF('Исходные данные'!M23=3,'Задание Ножницы лента'!I26,IF('Исходные данные'!M23=4,"---",))))</f>
        <v>0</v>
      </c>
      <c r="AC25" s="213" t="str">
        <f>'Задание Ножницы лента'!M26</f>
        <v>---</v>
      </c>
      <c r="AD25" s="159" t="str">
        <f>IF('Исходные данные'!M23=1,"ВГ 111.00.00.003",IF('Исходные данные'!M23=3,"ВГ 111.00.00.003",IF('Исходные данные'!M23=2,"ВГ 050.00.00.005",IF('Исходные данные'!M23=4,"ВГ 050.00.00.005","---"))))</f>
        <v>---</v>
      </c>
      <c r="AE25" s="159" t="str">
        <f>'Задание на Trumpf'!Y24</f>
        <v>---</v>
      </c>
      <c r="AF25" s="159" t="str">
        <f t="shared" si="1"/>
        <v>---</v>
      </c>
      <c r="AG25" s="368">
        <f>IF(AE25&gt;0,'Исходные данные'!H23*2,0)</f>
        <v>0</v>
      </c>
      <c r="AH25" s="369" t="str">
        <f t="shared" si="2"/>
        <v>---</v>
      </c>
      <c r="AI25" s="366">
        <f>'Исходные данные'!H23</f>
        <v>0</v>
      </c>
      <c r="AN25" s="18"/>
      <c r="AO25" s="356">
        <f t="shared" si="3"/>
        <v>0</v>
      </c>
      <c r="AP25" s="18"/>
      <c r="AQ25" s="356">
        <f t="shared" si="4"/>
        <v>0</v>
      </c>
      <c r="AR25" s="18" t="str">
        <f>IF('Исходные данные'!M23=2,IF((AND('Исходные данные'!F23&gt;485,'Исходные данные'!F23&lt;635)),3,IF((AND('Исходные данные'!F23&gt;635,'Исходные данные'!F23&lt;785)),4,IF((AND('Исходные данные'!F23&gt;785,'Исходные данные'!F23&lt;935)),5,IF((AND('Исходные данные'!F23&gt;935,'Исходные данные'!F23&lt;1085)),6,IF((AND('Исходные данные'!F23&gt;1085,'Исходные данные'!F23&lt;1235)),7,IF((AND('Исходные данные'!F23&gt;1235,'Исходные данные'!F23&lt;1385)),8,IF((AND('Исходные данные'!F23&gt;1385,'Исходные данные'!F23&lt;1535)),9,IF((AND('Исходные данные'!F23&gt;1535,'Исходные данные'!F23&lt;1685)),10,IF((AND('Исходные данные'!F23&gt;1685,'Исходные данные'!F23&lt;1835)),11,IF((AND('Исходные данные'!F23&gt;1835,'Исходные данные'!F23&lt;1985)),12,IF((AND('Исходные данные'!F23&gt;1985,'Исходные данные'!F23&lt;2135)),13,IF((AND('Исходные данные'!F23&gt;2135,'Исходные данные'!F23&lt;2285)),14,IF((AND('Исходные данные'!F23&gt;2285,'Исходные данные'!F23&lt;2435)),15,IF((AND('Исходные данные'!F23&gt;180,'Исходные данные'!F23&lt;315)),1,IF((AND('Исходные данные'!F23&gt;315,'Исходные данные'!F23&lt;485)),2,IF(('Исходные данные'!F23&lt;=180),1,0)))))))))))))))),IF(('Исходные данные'!T23=0),IF(((AND('Исходные данные'!F23&gt;=165,'Исходные данные'!F23&lt;301))),1,IF(((AND('Исходные данные'!F23&gt;=301,'Исходные данные'!F23&lt;441))),2,IF(((AND('Исходные данные'!F23&gt;=441,'Исходные данные'!F23&lt;581))),3,IF(((AND('Исходные данные'!F23&gt;=581,'Исходные данные'!F23&lt;721))),4,IF(((AND('Исходные данные'!F23&gt;=721,'Исходные данные'!F23&lt;861))),5,IF(((AND('Исходные данные'!F23&gt;=861,'Исходные данные'!F23&lt;1000))),6,IF(((AND('Исходные данные'!F23&gt;=1000,'Исходные данные'!F23&lt;1141))),7,IF(((AND('Исходные данные'!F23&gt;=1141,'Исходные данные'!F23&lt;1281))),8,IF(((AND('Исходные данные'!F23&gt;=1281,'Исходные данные'!F23&lt;1421))),9,IF(((AND('Исходные данные'!F23&gt;=1421,'Исходные данные'!F23&lt;1561))),10,IF(((AND('Исходные данные'!F23&gt;=1561,'Исходные данные'!F23&lt;1701))),11,IF(((AND('Исходные данные'!F23&gt;=1701,'Исходные данные'!F23&lt;1841))),12,IF(((AND('Исходные данные'!F23&gt;=1841,'Исходные данные'!F23&lt;1981))),13,IF(((AND('Исходные данные'!F23&gt;=1981,'Исходные данные'!F23&lt;2121))),14,IF(((AND('Исходные данные'!F23&gt;=2121,'Исходные данные'!F23&lt;2261))),15,IF(((AND('Исходные данные'!F23&gt;=2261,'Исходные данные'!F23&lt;2400))),16,IF(((AND('Исходные данные'!F23&gt;=2400,'Исходные данные'!F23&lt;2410))),17,"---"))))))))))))))))),IF('Исходные данные'!M23=4,IF((AND('Исходные данные'!F23&gt;485,'Исходные данные'!F23&lt;635)),3,IF((AND('Исходные данные'!F23&gt;635,'Исходные данные'!F23&lt;785)),4,IF((AND('Исходные данные'!F23&gt;785,'Исходные данные'!F23&lt;935)),5,IF((AND('Исходные данные'!F23&gt;935,'Исходные данные'!F23&lt;1085)),6,IF((AND('Исходные данные'!F23&gt;1085,'Исходные данные'!F23&lt;1235)),7,IF((AND('Исходные данные'!F23&gt;1235,'Исходные данные'!F23&lt;1385)),8,IF((AND('Исходные данные'!F23&gt;1385,'Исходные данные'!F23&lt;1535)),9,IF((AND('Исходные данные'!F23&gt;1535,'Исходные данные'!F23&lt;1685)),10,IF((AND('Исходные данные'!F23&gt;1685,'Исходные данные'!F23&lt;1835)),11,IF((AND('Исходные данные'!F23&gt;1835,'Исходные данные'!F23&lt;1985)),12,IF((AND('Исходные данные'!F23&gt;1985,'Исходные данные'!F23&lt;2135)),13,IF((AND('Исходные данные'!F23&gt;2135,'Исходные данные'!F23&lt;2285)),14,IF((AND('Исходные данные'!F23&gt;2285,'Исходные данные'!F23&lt;2435)),15,IF((AND('Исходные данные'!F23&gt;180,'Исходные данные'!F23&lt;315)),1,IF((AND('Исходные данные'!F23&gt;315,'Исходные данные'!F23&lt;485)),2,IF(('Исходные данные'!F23&lt;=180),1,0)))))))))))))))),IF(('Исходные данные'!T23=0),IF(((AND('Исходные данные'!F23&gt;=165,'Исходные данные'!F23&lt;301))),1,IF(((AND('Исходные данные'!F23&gt;=301,'Исходные данные'!F23&lt;441))),2,IF(((AND('Исходные данные'!F23&gt;=441,'Исходные данные'!F23&lt;581))),3,IF(((AND('Исходные данные'!F23&gt;=581,'Исходные данные'!F23&lt;721))),4,IF(((AND('Исходные данные'!F23&gt;=721,'Исходные данные'!F23&lt;861))),5,IF(((AND('Исходные данные'!F23&gt;=861,'Исходные данные'!F23&lt;1000))),6,IF(((AND('Исходные данные'!F23&gt;=1000,'Исходные данные'!F23&lt;1141))),7,IF(((AND('Исходные данные'!F23&gt;=1141,'Исходные данные'!F23&lt;1281))),8,IF(((AND('Исходные данные'!F23&gt;=1281,'Исходные данные'!F23&lt;1421))),9,IF(((AND('Исходные данные'!F23&gt;=1421,'Исходные данные'!F23&lt;1561))),10,IF(((AND('Исходные данные'!F23&gt;=1561,'Исходные данные'!F23&lt;1701))),11,IF(((AND('Исходные данные'!F23&gt;=1701,'Исходные данные'!F23&lt;1841))),12,IF(((AND('Исходные данные'!F23&gt;=1841,'Исходные данные'!F23&lt;1981))),13,IF(((AND('Исходные данные'!F23&gt;=1981,'Исходные данные'!F23&lt;2121))),14,IF(((AND('Исходные данные'!F23&gt;=2121,'Исходные данные'!F23&lt;2261))),15,IF(((AND('Исходные данные'!F23&gt;=2261,'Исходные данные'!F23&lt;2400))),16,IF(((AND('Исходные данные'!F23&gt;=2400,'Исходные данные'!F23&lt;2410))),17,"---"))))))))))))))))),"----"))))</f>
        <v>----</v>
      </c>
      <c r="AS25" s="363">
        <f t="shared" si="5"/>
        <v>0</v>
      </c>
      <c r="AT25" s="363">
        <f>AS25*'Исходные данные'!H23</f>
        <v>0</v>
      </c>
      <c r="AU25" s="363">
        <f>IF('Исходные данные'!I23&lt;=140,0.013,IF('Исходные данные'!I23&lt;=290,0.021,IF('Исходные данные'!I23&gt;=300,0.042,0)))</f>
        <v>4.2000000000000003E-2</v>
      </c>
      <c r="AV25" s="363">
        <f t="shared" si="6"/>
        <v>0</v>
      </c>
      <c r="AW25" s="365">
        <f t="shared" si="7"/>
        <v>0</v>
      </c>
      <c r="AX25" s="363"/>
      <c r="AY25" s="465">
        <f>IF(X25="комплект кожухов",'Исходные данные'!H23,0)</f>
        <v>0</v>
      </c>
      <c r="AZ25" s="465"/>
      <c r="BA25" s="359">
        <f t="shared" si="8"/>
        <v>0</v>
      </c>
      <c r="BB25">
        <f>'Исходные данные'!M23</f>
        <v>0</v>
      </c>
      <c r="BC25">
        <f>IF(BB25=1,IF('Исходные данные'!F23&lt;=1000,0.017*2,IF('Исходные данные'!F23&lt;=2000,0.022*2,IF('Исходные данные'!F23&gt;2000,0.028*2,0))),IF(BB25=2,IF('Исходные данные'!F23&lt;=1000,0.017*2,IF('Исходные данные'!F23&lt;=2000,0.022*2,IF('Исходные данные'!F23&gt;2000,0.028*2,0))),IF(BB25=3,IF('Исходные данные'!F23&lt;=1000,0.017*2,IF('Исходные данные'!F23&lt;=2000,0.022*2,IF('Исходные данные'!F23&gt;2000,0.028*2,0))),0)))</f>
        <v>0</v>
      </c>
      <c r="BD25" s="356">
        <f>BC25*'Исходные данные'!H23</f>
        <v>0</v>
      </c>
      <c r="BE25" s="18">
        <f>'Труматик гермики'!P24</f>
        <v>0</v>
      </c>
      <c r="BF25" s="18">
        <f t="shared" si="9"/>
        <v>0</v>
      </c>
      <c r="BG25">
        <f t="shared" si="10"/>
        <v>0</v>
      </c>
      <c r="BH25" s="356">
        <f>BG25*'Исходные данные'!H23</f>
        <v>0</v>
      </c>
      <c r="BI25">
        <f>IF(F25="Регуляр",IF(BB25=1,0.022*'Труматик гермики'!AB24,0),0)</f>
        <v>0</v>
      </c>
      <c r="BJ25" s="356">
        <f>BI25*'Исходные данные'!H23</f>
        <v>0</v>
      </c>
      <c r="BK25">
        <f t="shared" si="11"/>
        <v>0</v>
      </c>
      <c r="BL25">
        <f t="shared" si="12"/>
        <v>0</v>
      </c>
      <c r="BM25">
        <f>IF(BL25=3,0.006*2*'Исходные данные'!H23,IF(BL25=4,0.006*1.2*2*'Исходные данные'!H23,IF(BL25=5,IF('Исходные данные'!G23&lt;=290,0.006*2*'Исходные данные'!H23,0.012*2*'Исходные данные'!H23),IF(BL25=6,IF('Исходные данные'!G23&lt;=290,0.006*1.2*2*'Исходные данные'!H23,0.012*1.2*2*'Исходные данные'!H23),0))))</f>
        <v>0</v>
      </c>
      <c r="BN25">
        <f t="shared" si="13"/>
        <v>0</v>
      </c>
      <c r="BO25" s="359">
        <f t="shared" si="14"/>
        <v>0</v>
      </c>
      <c r="BP25">
        <f t="shared" si="15"/>
        <v>0</v>
      </c>
      <c r="BQ25">
        <f>IF(AH25="ОЦ",IF('Исходные данные'!F23&lt;=2000,0.012,IF('Исходные данные'!F23&gt;2000,0.018,0)),IF(AH25="нерж",IF('Исходные данные'!F23&lt;=2000,0.012*1.2,IF('Исходные данные'!F23&gt;2000,0.018*1.2,0)),0))</f>
        <v>0</v>
      </c>
      <c r="BR25" s="356">
        <f t="shared" si="16"/>
        <v>0</v>
      </c>
    </row>
    <row r="26" spans="1:70" ht="21.75" customHeight="1" thickBot="1">
      <c r="D26" s="143" t="s">
        <v>300</v>
      </c>
      <c r="E26" s="178">
        <f>'Исходные данные'!B24</f>
        <v>0</v>
      </c>
      <c r="F26" s="157">
        <f>'Исходные данные'!C24</f>
        <v>0</v>
      </c>
      <c r="G26" s="157">
        <f>'Исходные данные'!D24</f>
        <v>0</v>
      </c>
      <c r="H26" s="157">
        <f>'Исходные данные'!F24</f>
        <v>0</v>
      </c>
      <c r="I26" s="157" t="str">
        <f>'Труматик гермики'!E25</f>
        <v>--</v>
      </c>
      <c r="J26" s="157">
        <f>'Исходные данные'!K24</f>
        <v>0</v>
      </c>
      <c r="K26" s="157">
        <f>'Исходные данные'!G24</f>
        <v>0</v>
      </c>
      <c r="L26" s="157" t="str">
        <f>'Труматик гермики'!E25</f>
        <v>--</v>
      </c>
      <c r="M26" s="157">
        <f>'Исходные данные'!K24</f>
        <v>0</v>
      </c>
      <c r="N26" s="157">
        <f>'Исходные данные'!H24</f>
        <v>0</v>
      </c>
      <c r="O26" s="159">
        <f>'Исходные данные'!F24</f>
        <v>0</v>
      </c>
      <c r="P26" s="159">
        <f>IF('Исходные данные'!H24&gt;0,'Исходные данные'!H24*2,0)</f>
        <v>0</v>
      </c>
      <c r="Q26" s="159">
        <f>'Исходные данные'!G24</f>
        <v>0</v>
      </c>
      <c r="R26" s="159">
        <f>IF('Исходные данные'!H24&gt;0,'Исходные данные'!H24*2,0)</f>
        <v>0</v>
      </c>
      <c r="S26" s="159">
        <f>'Исходные данные'!K24</f>
        <v>0</v>
      </c>
      <c r="T26" s="159" t="str">
        <f>'Задание на Trumpf'!S25</f>
        <v>---</v>
      </c>
      <c r="U26" s="159">
        <f>'Труматик гермики'!Q25</f>
        <v>0</v>
      </c>
      <c r="V26" s="159">
        <f>IF(U26="-----",0,'Задание на гибку'!U26*'Исходные данные'!H24)</f>
        <v>0</v>
      </c>
      <c r="W26" s="159" t="str">
        <f>IF('Исходные данные'!L24=1,"ОЦ",IF('Исходные данные'!L24=2,"нерж",IF('Исходные данные'!L24=3,"ОЦ",IF('Исходные данные'!L24=4,"ОЦ","---"))))</f>
        <v>---</v>
      </c>
      <c r="X26" s="507" t="str">
        <f>IF('Исходные данные'!M24=1,"Комплект кожухов","___")</f>
        <v>___</v>
      </c>
      <c r="Y26" s="507"/>
      <c r="Z26" s="213">
        <f>'Исходные данные'!K24</f>
        <v>0</v>
      </c>
      <c r="AA26" s="159" t="str">
        <f t="shared" si="0"/>
        <v>---</v>
      </c>
      <c r="AB26" s="213">
        <f>IF('Исходные данные'!M24=1,'Задание Ножницы лента'!I27,IF('Исходные данные'!M24=2,'Задание Ножницы лента'!I27,IF('Исходные данные'!M24=3,'Задание Ножницы лента'!I27,IF('Исходные данные'!M24=4,"---",))))</f>
        <v>0</v>
      </c>
      <c r="AC26" s="213" t="str">
        <f>'Задание Ножницы лента'!M27</f>
        <v>---</v>
      </c>
      <c r="AD26" s="159" t="str">
        <f>IF('Исходные данные'!M24=1,"ВГ 111.00.00.003",IF('Исходные данные'!M24=3,"ВГ 111.00.00.003",IF('Исходные данные'!M24=2,"ВГ 050.00.00.005",IF('Исходные данные'!M24=4,"ВГ 050.00.00.005","---"))))</f>
        <v>---</v>
      </c>
      <c r="AE26" s="159" t="str">
        <f>'Задание на Trumpf'!Y25</f>
        <v>---</v>
      </c>
      <c r="AF26" s="159" t="str">
        <f t="shared" si="1"/>
        <v>---</v>
      </c>
      <c r="AG26" s="368">
        <f>IF(AE26&gt;0,'Исходные данные'!H24*2,0)</f>
        <v>0</v>
      </c>
      <c r="AH26" s="369" t="str">
        <f t="shared" si="2"/>
        <v>---</v>
      </c>
      <c r="AI26" s="366">
        <f>'Исходные данные'!H24</f>
        <v>0</v>
      </c>
      <c r="AN26" s="18"/>
      <c r="AO26" s="356">
        <f t="shared" si="3"/>
        <v>0</v>
      </c>
      <c r="AP26" s="18"/>
      <c r="AQ26" s="356">
        <f t="shared" si="4"/>
        <v>0</v>
      </c>
      <c r="AR26" s="18" t="str">
        <f>IF('Исходные данные'!M24=2,IF((AND('Исходные данные'!F24&gt;485,'Исходные данные'!F24&lt;635)),3,IF((AND('Исходные данные'!F24&gt;635,'Исходные данные'!F24&lt;785)),4,IF((AND('Исходные данные'!F24&gt;785,'Исходные данные'!F24&lt;935)),5,IF((AND('Исходные данные'!F24&gt;935,'Исходные данные'!F24&lt;1085)),6,IF((AND('Исходные данные'!F24&gt;1085,'Исходные данные'!F24&lt;1235)),7,IF((AND('Исходные данные'!F24&gt;1235,'Исходные данные'!F24&lt;1385)),8,IF((AND('Исходные данные'!F24&gt;1385,'Исходные данные'!F24&lt;1535)),9,IF((AND('Исходные данные'!F24&gt;1535,'Исходные данные'!F24&lt;1685)),10,IF((AND('Исходные данные'!F24&gt;1685,'Исходные данные'!F24&lt;1835)),11,IF((AND('Исходные данные'!F24&gt;1835,'Исходные данные'!F24&lt;1985)),12,IF((AND('Исходные данные'!F24&gt;1985,'Исходные данные'!F24&lt;2135)),13,IF((AND('Исходные данные'!F24&gt;2135,'Исходные данные'!F24&lt;2285)),14,IF((AND('Исходные данные'!F24&gt;2285,'Исходные данные'!F24&lt;2435)),15,IF((AND('Исходные данные'!F24&gt;180,'Исходные данные'!F24&lt;315)),1,IF((AND('Исходные данные'!F24&gt;315,'Исходные данные'!F24&lt;485)),2,IF(('Исходные данные'!F24&lt;=180),1,0)))))))))))))))),IF(('Исходные данные'!T24=0),IF(((AND('Исходные данные'!F24&gt;=165,'Исходные данные'!F24&lt;301))),1,IF(((AND('Исходные данные'!F24&gt;=301,'Исходные данные'!F24&lt;441))),2,IF(((AND('Исходные данные'!F24&gt;=441,'Исходные данные'!F24&lt;581))),3,IF(((AND('Исходные данные'!F24&gt;=581,'Исходные данные'!F24&lt;721))),4,IF(((AND('Исходные данные'!F24&gt;=721,'Исходные данные'!F24&lt;861))),5,IF(((AND('Исходные данные'!F24&gt;=861,'Исходные данные'!F24&lt;1000))),6,IF(((AND('Исходные данные'!F24&gt;=1000,'Исходные данные'!F24&lt;1141))),7,IF(((AND('Исходные данные'!F24&gt;=1141,'Исходные данные'!F24&lt;1281))),8,IF(((AND('Исходные данные'!F24&gt;=1281,'Исходные данные'!F24&lt;1421))),9,IF(((AND('Исходные данные'!F24&gt;=1421,'Исходные данные'!F24&lt;1561))),10,IF(((AND('Исходные данные'!F24&gt;=1561,'Исходные данные'!F24&lt;1701))),11,IF(((AND('Исходные данные'!F24&gt;=1701,'Исходные данные'!F24&lt;1841))),12,IF(((AND('Исходные данные'!F24&gt;=1841,'Исходные данные'!F24&lt;1981))),13,IF(((AND('Исходные данные'!F24&gt;=1981,'Исходные данные'!F24&lt;2121))),14,IF(((AND('Исходные данные'!F24&gt;=2121,'Исходные данные'!F24&lt;2261))),15,IF(((AND('Исходные данные'!F24&gt;=2261,'Исходные данные'!F24&lt;2400))),16,IF(((AND('Исходные данные'!F24&gt;=2400,'Исходные данные'!F24&lt;2410))),17,"---"))))))))))))))))),IF('Исходные данные'!M24=4,IF((AND('Исходные данные'!F24&gt;485,'Исходные данные'!F24&lt;635)),3,IF((AND('Исходные данные'!F24&gt;635,'Исходные данные'!F24&lt;785)),4,IF((AND('Исходные данные'!F24&gt;785,'Исходные данные'!F24&lt;935)),5,IF((AND('Исходные данные'!F24&gt;935,'Исходные данные'!F24&lt;1085)),6,IF((AND('Исходные данные'!F24&gt;1085,'Исходные данные'!F24&lt;1235)),7,IF((AND('Исходные данные'!F24&gt;1235,'Исходные данные'!F24&lt;1385)),8,IF((AND('Исходные данные'!F24&gt;1385,'Исходные данные'!F24&lt;1535)),9,IF((AND('Исходные данные'!F24&gt;1535,'Исходные данные'!F24&lt;1685)),10,IF((AND('Исходные данные'!F24&gt;1685,'Исходные данные'!F24&lt;1835)),11,IF((AND('Исходные данные'!F24&gt;1835,'Исходные данные'!F24&lt;1985)),12,IF((AND('Исходные данные'!F24&gt;1985,'Исходные данные'!F24&lt;2135)),13,IF((AND('Исходные данные'!F24&gt;2135,'Исходные данные'!F24&lt;2285)),14,IF((AND('Исходные данные'!F24&gt;2285,'Исходные данные'!F24&lt;2435)),15,IF((AND('Исходные данные'!F24&gt;180,'Исходные данные'!F24&lt;315)),1,IF((AND('Исходные данные'!F24&gt;315,'Исходные данные'!F24&lt;485)),2,IF(('Исходные данные'!F24&lt;=180),1,0)))))))))))))))),IF(('Исходные данные'!T24=0),IF(((AND('Исходные данные'!F24&gt;=165,'Исходные данные'!F24&lt;301))),1,IF(((AND('Исходные данные'!F24&gt;=301,'Исходные данные'!F24&lt;441))),2,IF(((AND('Исходные данные'!F24&gt;=441,'Исходные данные'!F24&lt;581))),3,IF(((AND('Исходные данные'!F24&gt;=581,'Исходные данные'!F24&lt;721))),4,IF(((AND('Исходные данные'!F24&gt;=721,'Исходные данные'!F24&lt;861))),5,IF(((AND('Исходные данные'!F24&gt;=861,'Исходные данные'!F24&lt;1000))),6,IF(((AND('Исходные данные'!F24&gt;=1000,'Исходные данные'!F24&lt;1141))),7,IF(((AND('Исходные данные'!F24&gt;=1141,'Исходные данные'!F24&lt;1281))),8,IF(((AND('Исходные данные'!F24&gt;=1281,'Исходные данные'!F24&lt;1421))),9,IF(((AND('Исходные данные'!F24&gt;=1421,'Исходные данные'!F24&lt;1561))),10,IF(((AND('Исходные данные'!F24&gt;=1561,'Исходные данные'!F24&lt;1701))),11,IF(((AND('Исходные данные'!F24&gt;=1701,'Исходные данные'!F24&lt;1841))),12,IF(((AND('Исходные данные'!F24&gt;=1841,'Исходные данные'!F24&lt;1981))),13,IF(((AND('Исходные данные'!F24&gt;=1981,'Исходные данные'!F24&lt;2121))),14,IF(((AND('Исходные данные'!F24&gt;=2121,'Исходные данные'!F24&lt;2261))),15,IF(((AND('Исходные данные'!F24&gt;=2261,'Исходные данные'!F24&lt;2400))),16,IF(((AND('Исходные данные'!F24&gt;=2400,'Исходные данные'!F24&lt;2410))),17,"---"))))))))))))))))),"----"))))</f>
        <v>----</v>
      </c>
      <c r="AS26" s="363">
        <f t="shared" si="5"/>
        <v>0</v>
      </c>
      <c r="AT26" s="363">
        <f>AS26*'Исходные данные'!H24</f>
        <v>0</v>
      </c>
      <c r="AU26" s="363">
        <f>IF('Исходные данные'!I24&lt;=140,0.013,IF('Исходные данные'!I24&lt;=290,0.021,IF('Исходные данные'!I24&gt;=300,0.042,0)))</f>
        <v>4.2000000000000003E-2</v>
      </c>
      <c r="AV26" s="363">
        <f t="shared" si="6"/>
        <v>0</v>
      </c>
      <c r="AW26" s="365">
        <f t="shared" si="7"/>
        <v>0</v>
      </c>
      <c r="AX26" s="363"/>
      <c r="AY26" s="465">
        <f>IF(X26="комплект кожухов",'Исходные данные'!H24,0)</f>
        <v>0</v>
      </c>
      <c r="AZ26" s="465"/>
      <c r="BA26" s="359">
        <f t="shared" si="8"/>
        <v>0</v>
      </c>
      <c r="BB26">
        <f>'Исходные данные'!M24</f>
        <v>0</v>
      </c>
      <c r="BC26">
        <f>IF(BB26=1,IF('Исходные данные'!F24&lt;=1000,0.017*2,IF('Исходные данные'!F24&lt;=2000,0.022*2,IF('Исходные данные'!F24&gt;2000,0.028*2,0))),IF(BB26=2,IF('Исходные данные'!F24&lt;=1000,0.017*2,IF('Исходные данные'!F24&lt;=2000,0.022*2,IF('Исходные данные'!F24&gt;2000,0.028*2,0))),IF(BB26=3,IF('Исходные данные'!F24&lt;=1000,0.017*2,IF('Исходные данные'!F24&lt;=2000,0.022*2,IF('Исходные данные'!F24&gt;2000,0.028*2,0))),0)))</f>
        <v>0</v>
      </c>
      <c r="BD26" s="356">
        <f>BC26*'Исходные данные'!H24</f>
        <v>0</v>
      </c>
      <c r="BE26" s="18">
        <f>'Труматик гермики'!P25</f>
        <v>0</v>
      </c>
      <c r="BF26" s="18">
        <f t="shared" si="9"/>
        <v>0</v>
      </c>
      <c r="BG26">
        <f t="shared" si="10"/>
        <v>0</v>
      </c>
      <c r="BH26" s="356">
        <f>BG26*'Исходные данные'!H24</f>
        <v>0</v>
      </c>
      <c r="BI26">
        <f>IF(F26="Регуляр",IF(BB26=1,0.022*'Труматик гермики'!AB25,0),0)</f>
        <v>0</v>
      </c>
      <c r="BJ26" s="356">
        <f>BI26*'Исходные данные'!H24</f>
        <v>0</v>
      </c>
      <c r="BK26">
        <f t="shared" si="11"/>
        <v>0</v>
      </c>
      <c r="BL26">
        <f t="shared" si="12"/>
        <v>0</v>
      </c>
      <c r="BM26">
        <f>IF(BL26=3,0.006*2*'Исходные данные'!H24,IF(BL26=4,0.006*1.2*2*'Исходные данные'!H24,IF(BL26=5,IF('Исходные данные'!G24&lt;=290,0.006*2*'Исходные данные'!H24,0.012*2*'Исходные данные'!H24),IF(BL26=6,IF('Исходные данные'!G24&lt;=290,0.006*1.2*2*'Исходные данные'!H24,0.012*1.2*2*'Исходные данные'!H24),0))))</f>
        <v>0</v>
      </c>
      <c r="BN26">
        <f t="shared" si="13"/>
        <v>0</v>
      </c>
      <c r="BO26" s="359">
        <f t="shared" si="14"/>
        <v>0</v>
      </c>
      <c r="BP26">
        <f t="shared" si="15"/>
        <v>0</v>
      </c>
      <c r="BQ26">
        <f>IF(AH26="ОЦ",IF('Исходные данные'!F24&lt;=2000,0.012,IF('Исходные данные'!F24&gt;2000,0.018,0)),IF(AH26="нерж",IF('Исходные данные'!F24&lt;=2000,0.012*1.2,IF('Исходные данные'!F24&gt;2000,0.018*1.2,0)),0))</f>
        <v>0</v>
      </c>
      <c r="BR26" s="356">
        <f t="shared" si="16"/>
        <v>0</v>
      </c>
    </row>
    <row r="27" spans="1:70" ht="21.75" customHeight="1" thickBot="1">
      <c r="D27" s="143" t="s">
        <v>301</v>
      </c>
      <c r="E27" s="178">
        <f>'Исходные данные'!B25</f>
        <v>0</v>
      </c>
      <c r="F27" s="157">
        <f>'Исходные данные'!C25</f>
        <v>0</v>
      </c>
      <c r="G27" s="157">
        <f>'Исходные данные'!D25</f>
        <v>0</v>
      </c>
      <c r="H27" s="157">
        <f>'Исходные данные'!F25</f>
        <v>0</v>
      </c>
      <c r="I27" s="157" t="str">
        <f>'Труматик гермики'!E26</f>
        <v>--</v>
      </c>
      <c r="J27" s="157">
        <f>'Исходные данные'!K25</f>
        <v>0</v>
      </c>
      <c r="K27" s="157">
        <f>'Исходные данные'!G25</f>
        <v>0</v>
      </c>
      <c r="L27" s="157" t="str">
        <f>'Труматик гермики'!E26</f>
        <v>--</v>
      </c>
      <c r="M27" s="157">
        <f>'Исходные данные'!K25</f>
        <v>0</v>
      </c>
      <c r="N27" s="157">
        <f>'Исходные данные'!H25</f>
        <v>0</v>
      </c>
      <c r="O27" s="159">
        <f>'Исходные данные'!F25</f>
        <v>0</v>
      </c>
      <c r="P27" s="159">
        <f>IF('Исходные данные'!H25&gt;0,'Исходные данные'!H25*2,0)</f>
        <v>0</v>
      </c>
      <c r="Q27" s="159">
        <f>'Исходные данные'!G25</f>
        <v>0</v>
      </c>
      <c r="R27" s="159">
        <f>IF('Исходные данные'!H25&gt;0,'Исходные данные'!H25*2,0)</f>
        <v>0</v>
      </c>
      <c r="S27" s="159">
        <f>'Исходные данные'!K25</f>
        <v>0</v>
      </c>
      <c r="T27" s="159" t="str">
        <f>'Задание на Trumpf'!S26</f>
        <v>---</v>
      </c>
      <c r="U27" s="159">
        <f>'Труматик гермики'!Q26</f>
        <v>0</v>
      </c>
      <c r="V27" s="159">
        <f>IF(U27="-----",0,'Задание на гибку'!U27*'Исходные данные'!H25)</f>
        <v>0</v>
      </c>
      <c r="W27" s="159" t="str">
        <f>IF('Исходные данные'!L25=1,"ОЦ",IF('Исходные данные'!L25=2,"нерж",IF('Исходные данные'!L25=3,"ОЦ",IF('Исходные данные'!L25=4,"ОЦ","---"))))</f>
        <v>---</v>
      </c>
      <c r="X27" s="507" t="str">
        <f>IF('Исходные данные'!M25=1,"Комплект кожухов","___")</f>
        <v>___</v>
      </c>
      <c r="Y27" s="507"/>
      <c r="Z27" s="213">
        <f>'Исходные данные'!K25</f>
        <v>0</v>
      </c>
      <c r="AA27" s="159" t="str">
        <f t="shared" si="0"/>
        <v>---</v>
      </c>
      <c r="AB27" s="213">
        <f>IF('Исходные данные'!M25=1,'Задание Ножницы лента'!I28,IF('Исходные данные'!M25=2,'Задание Ножницы лента'!I28,IF('Исходные данные'!M25=3,'Задание Ножницы лента'!I28,IF('Исходные данные'!M25=4,"---",))))</f>
        <v>0</v>
      </c>
      <c r="AC27" s="213" t="str">
        <f>'Задание Ножницы лента'!M28</f>
        <v>---</v>
      </c>
      <c r="AD27" s="159" t="str">
        <f>IF('Исходные данные'!M25=1,"ВГ 111.00.00.003",IF('Исходные данные'!M25=3,"ВГ 111.00.00.003",IF('Исходные данные'!M25=2,"ВГ 050.00.00.005",IF('Исходные данные'!M25=4,"ВГ 050.00.00.005","---"))))</f>
        <v>---</v>
      </c>
      <c r="AE27" s="159" t="str">
        <f>'Задание на Trumpf'!Y26</f>
        <v>---</v>
      </c>
      <c r="AF27" s="159" t="str">
        <f t="shared" si="1"/>
        <v>---</v>
      </c>
      <c r="AG27" s="368">
        <f>IF(AE27&gt;0,'Исходные данные'!H25*2,0)</f>
        <v>0</v>
      </c>
      <c r="AH27" s="369" t="str">
        <f t="shared" si="2"/>
        <v>---</v>
      </c>
      <c r="AI27" s="366">
        <f>'Исходные данные'!H25</f>
        <v>0</v>
      </c>
      <c r="AN27" s="18"/>
      <c r="AO27" s="356">
        <f t="shared" si="3"/>
        <v>0</v>
      </c>
      <c r="AP27" s="18"/>
      <c r="AQ27" s="356">
        <f t="shared" si="4"/>
        <v>0</v>
      </c>
      <c r="AR27" s="18" t="str">
        <f>IF('Исходные данные'!M25=2,IF((AND('Исходные данные'!F25&gt;485,'Исходные данные'!F25&lt;635)),3,IF((AND('Исходные данные'!F25&gt;635,'Исходные данные'!F25&lt;785)),4,IF((AND('Исходные данные'!F25&gt;785,'Исходные данные'!F25&lt;935)),5,IF((AND('Исходные данные'!F25&gt;935,'Исходные данные'!F25&lt;1085)),6,IF((AND('Исходные данные'!F25&gt;1085,'Исходные данные'!F25&lt;1235)),7,IF((AND('Исходные данные'!F25&gt;1235,'Исходные данные'!F25&lt;1385)),8,IF((AND('Исходные данные'!F25&gt;1385,'Исходные данные'!F25&lt;1535)),9,IF((AND('Исходные данные'!F25&gt;1535,'Исходные данные'!F25&lt;1685)),10,IF((AND('Исходные данные'!F25&gt;1685,'Исходные данные'!F25&lt;1835)),11,IF((AND('Исходные данные'!F25&gt;1835,'Исходные данные'!F25&lt;1985)),12,IF((AND('Исходные данные'!F25&gt;1985,'Исходные данные'!F25&lt;2135)),13,IF((AND('Исходные данные'!F25&gt;2135,'Исходные данные'!F25&lt;2285)),14,IF((AND('Исходные данные'!F25&gt;2285,'Исходные данные'!F25&lt;2435)),15,IF((AND('Исходные данные'!F25&gt;180,'Исходные данные'!F25&lt;315)),1,IF((AND('Исходные данные'!F25&gt;315,'Исходные данные'!F25&lt;485)),2,IF(('Исходные данные'!F25&lt;=180),1,0)))))))))))))))),IF(('Исходные данные'!T25=0),IF(((AND('Исходные данные'!F25&gt;=165,'Исходные данные'!F25&lt;301))),1,IF(((AND('Исходные данные'!F25&gt;=301,'Исходные данные'!F25&lt;441))),2,IF(((AND('Исходные данные'!F25&gt;=441,'Исходные данные'!F25&lt;581))),3,IF(((AND('Исходные данные'!F25&gt;=581,'Исходные данные'!F25&lt;721))),4,IF(((AND('Исходные данные'!F25&gt;=721,'Исходные данные'!F25&lt;861))),5,IF(((AND('Исходные данные'!F25&gt;=861,'Исходные данные'!F25&lt;1000))),6,IF(((AND('Исходные данные'!F25&gt;=1000,'Исходные данные'!F25&lt;1141))),7,IF(((AND('Исходные данные'!F25&gt;=1141,'Исходные данные'!F25&lt;1281))),8,IF(((AND('Исходные данные'!F25&gt;=1281,'Исходные данные'!F25&lt;1421))),9,IF(((AND('Исходные данные'!F25&gt;=1421,'Исходные данные'!F25&lt;1561))),10,IF(((AND('Исходные данные'!F25&gt;=1561,'Исходные данные'!F25&lt;1701))),11,IF(((AND('Исходные данные'!F25&gt;=1701,'Исходные данные'!F25&lt;1841))),12,IF(((AND('Исходные данные'!F25&gt;=1841,'Исходные данные'!F25&lt;1981))),13,IF(((AND('Исходные данные'!F25&gt;=1981,'Исходные данные'!F25&lt;2121))),14,IF(((AND('Исходные данные'!F25&gt;=2121,'Исходные данные'!F25&lt;2261))),15,IF(((AND('Исходные данные'!F25&gt;=2261,'Исходные данные'!F25&lt;2400))),16,IF(((AND('Исходные данные'!F25&gt;=2400,'Исходные данные'!F25&lt;2410))),17,"---"))))))))))))))))),IF('Исходные данные'!M25=4,IF((AND('Исходные данные'!F25&gt;485,'Исходные данные'!F25&lt;635)),3,IF((AND('Исходные данные'!F25&gt;635,'Исходные данные'!F25&lt;785)),4,IF((AND('Исходные данные'!F25&gt;785,'Исходные данные'!F25&lt;935)),5,IF((AND('Исходные данные'!F25&gt;935,'Исходные данные'!F25&lt;1085)),6,IF((AND('Исходные данные'!F25&gt;1085,'Исходные данные'!F25&lt;1235)),7,IF((AND('Исходные данные'!F25&gt;1235,'Исходные данные'!F25&lt;1385)),8,IF((AND('Исходные данные'!F25&gt;1385,'Исходные данные'!F25&lt;1535)),9,IF((AND('Исходные данные'!F25&gt;1535,'Исходные данные'!F25&lt;1685)),10,IF((AND('Исходные данные'!F25&gt;1685,'Исходные данные'!F25&lt;1835)),11,IF((AND('Исходные данные'!F25&gt;1835,'Исходные данные'!F25&lt;1985)),12,IF((AND('Исходные данные'!F25&gt;1985,'Исходные данные'!F25&lt;2135)),13,IF((AND('Исходные данные'!F25&gt;2135,'Исходные данные'!F25&lt;2285)),14,IF((AND('Исходные данные'!F25&gt;2285,'Исходные данные'!F25&lt;2435)),15,IF((AND('Исходные данные'!F25&gt;180,'Исходные данные'!F25&lt;315)),1,IF((AND('Исходные данные'!F25&gt;315,'Исходные данные'!F25&lt;485)),2,IF(('Исходные данные'!F25&lt;=180),1,0)))))))))))))))),IF(('Исходные данные'!T25=0),IF(((AND('Исходные данные'!F25&gt;=165,'Исходные данные'!F25&lt;301))),1,IF(((AND('Исходные данные'!F25&gt;=301,'Исходные данные'!F25&lt;441))),2,IF(((AND('Исходные данные'!F25&gt;=441,'Исходные данные'!F25&lt;581))),3,IF(((AND('Исходные данные'!F25&gt;=581,'Исходные данные'!F25&lt;721))),4,IF(((AND('Исходные данные'!F25&gt;=721,'Исходные данные'!F25&lt;861))),5,IF(((AND('Исходные данные'!F25&gt;=861,'Исходные данные'!F25&lt;1000))),6,IF(((AND('Исходные данные'!F25&gt;=1000,'Исходные данные'!F25&lt;1141))),7,IF(((AND('Исходные данные'!F25&gt;=1141,'Исходные данные'!F25&lt;1281))),8,IF(((AND('Исходные данные'!F25&gt;=1281,'Исходные данные'!F25&lt;1421))),9,IF(((AND('Исходные данные'!F25&gt;=1421,'Исходные данные'!F25&lt;1561))),10,IF(((AND('Исходные данные'!F25&gt;=1561,'Исходные данные'!F25&lt;1701))),11,IF(((AND('Исходные данные'!F25&gt;=1701,'Исходные данные'!F25&lt;1841))),12,IF(((AND('Исходные данные'!F25&gt;=1841,'Исходные данные'!F25&lt;1981))),13,IF(((AND('Исходные данные'!F25&gt;=1981,'Исходные данные'!F25&lt;2121))),14,IF(((AND('Исходные данные'!F25&gt;=2121,'Исходные данные'!F25&lt;2261))),15,IF(((AND('Исходные данные'!F25&gt;=2261,'Исходные данные'!F25&lt;2400))),16,IF(((AND('Исходные данные'!F25&gt;=2400,'Исходные данные'!F25&lt;2410))),17,"---"))))))))))))))))),"----"))))</f>
        <v>----</v>
      </c>
      <c r="AS27" s="363">
        <f t="shared" si="5"/>
        <v>0</v>
      </c>
      <c r="AT27" s="363">
        <f>AS27*'Исходные данные'!H25</f>
        <v>0</v>
      </c>
      <c r="AU27" s="363">
        <f>IF('Исходные данные'!I25&lt;=140,0.013,IF('Исходные данные'!I25&lt;=290,0.021,IF('Исходные данные'!I25&gt;=300,0.042,0)))</f>
        <v>4.2000000000000003E-2</v>
      </c>
      <c r="AV27" s="363">
        <f t="shared" si="6"/>
        <v>0</v>
      </c>
      <c r="AW27" s="365">
        <f t="shared" si="7"/>
        <v>0</v>
      </c>
      <c r="AX27" s="363"/>
      <c r="AY27" s="465">
        <f>IF(X27="комплект кожухов",'Исходные данные'!H25,0)</f>
        <v>0</v>
      </c>
      <c r="AZ27" s="465"/>
      <c r="BA27" s="359">
        <f t="shared" si="8"/>
        <v>0</v>
      </c>
      <c r="BB27">
        <f>'Исходные данные'!M25</f>
        <v>0</v>
      </c>
      <c r="BC27">
        <f>IF(BB27=1,IF('Исходные данные'!F25&lt;=1000,0.017*2,IF('Исходные данные'!F25&lt;=2000,0.022*2,IF('Исходные данные'!F25&gt;2000,0.028*2,0))),IF(BB27=2,IF('Исходные данные'!F25&lt;=1000,0.017*2,IF('Исходные данные'!F25&lt;=2000,0.022*2,IF('Исходные данные'!F25&gt;2000,0.028*2,0))),IF(BB27=3,IF('Исходные данные'!F25&lt;=1000,0.017*2,IF('Исходные данные'!F25&lt;=2000,0.022*2,IF('Исходные данные'!F25&gt;2000,0.028*2,0))),0)))</f>
        <v>0</v>
      </c>
      <c r="BD27" s="356">
        <f>BC27*'Исходные данные'!H25</f>
        <v>0</v>
      </c>
      <c r="BE27" s="18">
        <f>'Труматик гермики'!P26</f>
        <v>0</v>
      </c>
      <c r="BF27" s="18">
        <f t="shared" si="9"/>
        <v>0</v>
      </c>
      <c r="BG27">
        <f t="shared" si="10"/>
        <v>0</v>
      </c>
      <c r="BH27" s="356">
        <f>BG27*'Исходные данные'!H25</f>
        <v>0</v>
      </c>
      <c r="BI27">
        <f>IF(F27="Регуляр",IF(BB27=1,0.022*'Труматик гермики'!AB26,0),0)</f>
        <v>0</v>
      </c>
      <c r="BJ27" s="356">
        <f>BI27*'Исходные данные'!H25</f>
        <v>0</v>
      </c>
      <c r="BK27">
        <f t="shared" si="11"/>
        <v>0</v>
      </c>
      <c r="BL27">
        <f t="shared" si="12"/>
        <v>0</v>
      </c>
      <c r="BM27">
        <f>IF(BL27=3,0.006*2*'Исходные данные'!H25,IF(BL27=4,0.006*1.2*2*'Исходные данные'!H25,IF(BL27=5,IF('Исходные данные'!G25&lt;=290,0.006*2*'Исходные данные'!H25,0.012*2*'Исходные данные'!H25),IF(BL27=6,IF('Исходные данные'!G25&lt;=290,0.006*1.2*2*'Исходные данные'!H25,0.012*1.2*2*'Исходные данные'!H25),0))))</f>
        <v>0</v>
      </c>
      <c r="BN27">
        <f t="shared" si="13"/>
        <v>0</v>
      </c>
      <c r="BO27" s="359">
        <f t="shared" si="14"/>
        <v>0</v>
      </c>
      <c r="BP27">
        <f t="shared" si="15"/>
        <v>0</v>
      </c>
      <c r="BQ27">
        <f>IF(AH27="ОЦ",IF('Исходные данные'!F25&lt;=2000,0.012,IF('Исходные данные'!F25&gt;2000,0.018,0)),IF(AH27="нерж",IF('Исходные данные'!F25&lt;=2000,0.012*1.2,IF('Исходные данные'!F25&gt;2000,0.018*1.2,0)),0))</f>
        <v>0</v>
      </c>
      <c r="BR27" s="356">
        <f t="shared" si="16"/>
        <v>0</v>
      </c>
    </row>
    <row r="28" spans="1:70" ht="21.75" customHeight="1" thickBot="1">
      <c r="D28" s="144" t="s">
        <v>302</v>
      </c>
      <c r="E28" s="208">
        <f>'Исходные данные'!B26</f>
        <v>0</v>
      </c>
      <c r="F28" s="158">
        <f>'Исходные данные'!C26</f>
        <v>0</v>
      </c>
      <c r="G28" s="158">
        <f>'Исходные данные'!D26</f>
        <v>0</v>
      </c>
      <c r="H28" s="158">
        <f>'Исходные данные'!F26</f>
        <v>0</v>
      </c>
      <c r="I28" s="158" t="str">
        <f>'Труматик гермики'!E27</f>
        <v>--</v>
      </c>
      <c r="J28" s="158">
        <f>'Исходные данные'!K26</f>
        <v>0</v>
      </c>
      <c r="K28" s="158">
        <f>'Исходные данные'!G26</f>
        <v>0</v>
      </c>
      <c r="L28" s="158" t="str">
        <f>'Труматик гермики'!E27</f>
        <v>--</v>
      </c>
      <c r="M28" s="158">
        <f>'Исходные данные'!K26</f>
        <v>0</v>
      </c>
      <c r="N28" s="158">
        <f>'Исходные данные'!H26</f>
        <v>0</v>
      </c>
      <c r="O28" s="159">
        <f>'Исходные данные'!F26</f>
        <v>0</v>
      </c>
      <c r="P28" s="159">
        <f>IF('Исходные данные'!H26&gt;0,'Исходные данные'!H26*2,0)</f>
        <v>0</v>
      </c>
      <c r="Q28" s="159">
        <f>'Исходные данные'!G26</f>
        <v>0</v>
      </c>
      <c r="R28" s="159">
        <f>IF('Исходные данные'!H26&gt;0,'Исходные данные'!H26*2,0)</f>
        <v>0</v>
      </c>
      <c r="S28" s="159">
        <f>'Исходные данные'!K26</f>
        <v>0</v>
      </c>
      <c r="T28" s="159" t="str">
        <f>'Задание на Trumpf'!S27</f>
        <v>---</v>
      </c>
      <c r="U28" s="159">
        <f>'Труматик гермики'!Q27</f>
        <v>0</v>
      </c>
      <c r="V28" s="159">
        <f>IF(U28="-----",0,'Задание на гибку'!U28*'Исходные данные'!H26)</f>
        <v>0</v>
      </c>
      <c r="W28" s="159" t="str">
        <f>IF('Исходные данные'!L26=1,"ОЦ",IF('Исходные данные'!L26=2,"нерж",IF('Исходные данные'!L26=3,"ОЦ",IF('Исходные данные'!L26=4,"ОЦ","---"))))</f>
        <v>---</v>
      </c>
      <c r="X28" s="515" t="str">
        <f>IF('Исходные данные'!M26=1,"Комплект кожухов","___")</f>
        <v>___</v>
      </c>
      <c r="Y28" s="515"/>
      <c r="Z28" s="214">
        <f>'Исходные данные'!K26</f>
        <v>0</v>
      </c>
      <c r="AA28" s="159" t="str">
        <f t="shared" si="0"/>
        <v>---</v>
      </c>
      <c r="AB28" s="214">
        <f>IF('Исходные данные'!M26=1,'Задание Ножницы лента'!I29,IF('Исходные данные'!M26=2,'Задание Ножницы лента'!I29,IF('Исходные данные'!M26=3,'Задание Ножницы лента'!I29,IF('Исходные данные'!M26=4,"---",))))</f>
        <v>0</v>
      </c>
      <c r="AC28" s="214" t="str">
        <f>'Задание Ножницы лента'!M29</f>
        <v>---</v>
      </c>
      <c r="AD28" s="159" t="str">
        <f>IF('Исходные данные'!M26=1,"ВГ 111.00.00.003",IF('Исходные данные'!M26=3,"ВГ 111.00.00.003",IF('Исходные данные'!M26=2,"ВГ 050.00.00.005",IF('Исходные данные'!M26=4,"ВГ 050.00.00.005","---"))))</f>
        <v>---</v>
      </c>
      <c r="AE28" s="159" t="str">
        <f>'Задание на Trumpf'!Y27</f>
        <v>---</v>
      </c>
      <c r="AF28" s="159" t="str">
        <f t="shared" si="1"/>
        <v>---</v>
      </c>
      <c r="AG28" s="368">
        <f>IF(AE28&gt;0,'Исходные данные'!H26*2,0)</f>
        <v>0</v>
      </c>
      <c r="AH28" s="369" t="str">
        <f t="shared" si="2"/>
        <v>---</v>
      </c>
      <c r="AI28" s="367">
        <f>'Исходные данные'!H26</f>
        <v>0</v>
      </c>
      <c r="AN28" s="18"/>
      <c r="AO28" s="357">
        <f t="shared" si="3"/>
        <v>0</v>
      </c>
      <c r="AP28" s="18"/>
      <c r="AQ28" s="357">
        <f t="shared" si="4"/>
        <v>0</v>
      </c>
      <c r="AR28" s="18" t="str">
        <f>IF('Исходные данные'!M26=2,IF((AND('Исходные данные'!F26&gt;485,'Исходные данные'!F26&lt;635)),3,IF((AND('Исходные данные'!F26&gt;635,'Исходные данные'!F26&lt;785)),4,IF((AND('Исходные данные'!F26&gt;785,'Исходные данные'!F26&lt;935)),5,IF((AND('Исходные данные'!F26&gt;935,'Исходные данные'!F26&lt;1085)),6,IF((AND('Исходные данные'!F26&gt;1085,'Исходные данные'!F26&lt;1235)),7,IF((AND('Исходные данные'!F26&gt;1235,'Исходные данные'!F26&lt;1385)),8,IF((AND('Исходные данные'!F26&gt;1385,'Исходные данные'!F26&lt;1535)),9,IF((AND('Исходные данные'!F26&gt;1535,'Исходные данные'!F26&lt;1685)),10,IF((AND('Исходные данные'!F26&gt;1685,'Исходные данные'!F26&lt;1835)),11,IF((AND('Исходные данные'!F26&gt;1835,'Исходные данные'!F26&lt;1985)),12,IF((AND('Исходные данные'!F26&gt;1985,'Исходные данные'!F26&lt;2135)),13,IF((AND('Исходные данные'!F26&gt;2135,'Исходные данные'!F26&lt;2285)),14,IF((AND('Исходные данные'!F26&gt;2285,'Исходные данные'!F26&lt;2435)),15,IF((AND('Исходные данные'!F26&gt;180,'Исходные данные'!F26&lt;315)),1,IF((AND('Исходные данные'!F26&gt;315,'Исходные данные'!F26&lt;485)),2,IF(('Исходные данные'!F26&lt;=180),1,0)))))))))))))))),IF(('Исходные данные'!T26=0),IF(((AND('Исходные данные'!F26&gt;=165,'Исходные данные'!F26&lt;301))),1,IF(((AND('Исходные данные'!F26&gt;=301,'Исходные данные'!F26&lt;441))),2,IF(((AND('Исходные данные'!F26&gt;=441,'Исходные данные'!F26&lt;581))),3,IF(((AND('Исходные данные'!F26&gt;=581,'Исходные данные'!F26&lt;721))),4,IF(((AND('Исходные данные'!F26&gt;=721,'Исходные данные'!F26&lt;861))),5,IF(((AND('Исходные данные'!F26&gt;=861,'Исходные данные'!F26&lt;1000))),6,IF(((AND('Исходные данные'!F26&gt;=1000,'Исходные данные'!F26&lt;1141))),7,IF(((AND('Исходные данные'!F26&gt;=1141,'Исходные данные'!F26&lt;1281))),8,IF(((AND('Исходные данные'!F26&gt;=1281,'Исходные данные'!F26&lt;1421))),9,IF(((AND('Исходные данные'!F26&gt;=1421,'Исходные данные'!F26&lt;1561))),10,IF(((AND('Исходные данные'!F26&gt;=1561,'Исходные данные'!F26&lt;1701))),11,IF(((AND('Исходные данные'!F26&gt;=1701,'Исходные данные'!F26&lt;1841))),12,IF(((AND('Исходные данные'!F26&gt;=1841,'Исходные данные'!F26&lt;1981))),13,IF(((AND('Исходные данные'!F26&gt;=1981,'Исходные данные'!F26&lt;2121))),14,IF(((AND('Исходные данные'!F26&gt;=2121,'Исходные данные'!F26&lt;2261))),15,IF(((AND('Исходные данные'!F26&gt;=2261,'Исходные данные'!F26&lt;2400))),16,IF(((AND('Исходные данные'!F26&gt;=2400,'Исходные данные'!F26&lt;2410))),17,"---"))))))))))))))))),IF('Исходные данные'!M26=4,IF((AND('Исходные данные'!F26&gt;485,'Исходные данные'!F26&lt;635)),3,IF((AND('Исходные данные'!F26&gt;635,'Исходные данные'!F26&lt;785)),4,IF((AND('Исходные данные'!F26&gt;785,'Исходные данные'!F26&lt;935)),5,IF((AND('Исходные данные'!F26&gt;935,'Исходные данные'!F26&lt;1085)),6,IF((AND('Исходные данные'!F26&gt;1085,'Исходные данные'!F26&lt;1235)),7,IF((AND('Исходные данные'!F26&gt;1235,'Исходные данные'!F26&lt;1385)),8,IF((AND('Исходные данные'!F26&gt;1385,'Исходные данные'!F26&lt;1535)),9,IF((AND('Исходные данные'!F26&gt;1535,'Исходные данные'!F26&lt;1685)),10,IF((AND('Исходные данные'!F26&gt;1685,'Исходные данные'!F26&lt;1835)),11,IF((AND('Исходные данные'!F26&gt;1835,'Исходные данные'!F26&lt;1985)),12,IF((AND('Исходные данные'!F26&gt;1985,'Исходные данные'!F26&lt;2135)),13,IF((AND('Исходные данные'!F26&gt;2135,'Исходные данные'!F26&lt;2285)),14,IF((AND('Исходные данные'!F26&gt;2285,'Исходные данные'!F26&lt;2435)),15,IF((AND('Исходные данные'!F26&gt;180,'Исходные данные'!F26&lt;315)),1,IF((AND('Исходные данные'!F26&gt;315,'Исходные данные'!F26&lt;485)),2,IF(('Исходные данные'!F26&lt;=180),1,0)))))))))))))))),IF(('Исходные данные'!T26=0),IF(((AND('Исходные данные'!F26&gt;=165,'Исходные данные'!F26&lt;301))),1,IF(((AND('Исходные данные'!F26&gt;=301,'Исходные данные'!F26&lt;441))),2,IF(((AND('Исходные данные'!F26&gt;=441,'Исходные данные'!F26&lt;581))),3,IF(((AND('Исходные данные'!F26&gt;=581,'Исходные данные'!F26&lt;721))),4,IF(((AND('Исходные данные'!F26&gt;=721,'Исходные данные'!F26&lt;861))),5,IF(((AND('Исходные данные'!F26&gt;=861,'Исходные данные'!F26&lt;1000))),6,IF(((AND('Исходные данные'!F26&gt;=1000,'Исходные данные'!F26&lt;1141))),7,IF(((AND('Исходные данные'!F26&gt;=1141,'Исходные данные'!F26&lt;1281))),8,IF(((AND('Исходные данные'!F26&gt;=1281,'Исходные данные'!F26&lt;1421))),9,IF(((AND('Исходные данные'!F26&gt;=1421,'Исходные данные'!F26&lt;1561))),10,IF(((AND('Исходные данные'!F26&gt;=1561,'Исходные данные'!F26&lt;1701))),11,IF(((AND('Исходные данные'!F26&gt;=1701,'Исходные данные'!F26&lt;1841))),12,IF(((AND('Исходные данные'!F26&gt;=1841,'Исходные данные'!F26&lt;1981))),13,IF(((AND('Исходные данные'!F26&gt;=1981,'Исходные данные'!F26&lt;2121))),14,IF(((AND('Исходные данные'!F26&gt;=2121,'Исходные данные'!F26&lt;2261))),15,IF(((AND('Исходные данные'!F26&gt;=2261,'Исходные данные'!F26&lt;2400))),16,IF(((AND('Исходные данные'!F26&gt;=2400,'Исходные данные'!F26&lt;2410))),17,"---"))))))))))))))))),"----"))))</f>
        <v>----</v>
      </c>
      <c r="AS28" s="363">
        <f t="shared" si="5"/>
        <v>0</v>
      </c>
      <c r="AT28" s="363">
        <f>AS28*'Исходные данные'!H26</f>
        <v>0</v>
      </c>
      <c r="AU28" s="363">
        <f>IF('Исходные данные'!I26&lt;=140,0.013,IF('Исходные данные'!I26&lt;=290,0.021,IF('Исходные данные'!I26&gt;=300,0.042,0)))</f>
        <v>4.2000000000000003E-2</v>
      </c>
      <c r="AV28" s="363">
        <f t="shared" si="6"/>
        <v>0</v>
      </c>
      <c r="AW28" s="365">
        <f t="shared" si="7"/>
        <v>0</v>
      </c>
      <c r="AX28" s="363"/>
      <c r="AY28" s="465">
        <f>IF(X28="комплект кожухов",'Исходные данные'!H26,0)</f>
        <v>0</v>
      </c>
      <c r="AZ28" s="465"/>
      <c r="BA28" s="359">
        <f t="shared" si="8"/>
        <v>0</v>
      </c>
      <c r="BB28">
        <f>'Исходные данные'!M26</f>
        <v>0</v>
      </c>
      <c r="BC28">
        <f>IF(BB28=1,IF('Исходные данные'!F26&lt;=1000,0.017*2,IF('Исходные данные'!F26&lt;=2000,0.022*2,IF('Исходные данные'!F26&gt;2000,0.028*2,0))),IF(BB28=2,IF('Исходные данные'!F26&lt;=1000,0.017*2,IF('Исходные данные'!F26&lt;=2000,0.022*2,IF('Исходные данные'!F26&gt;2000,0.028*2,0))),IF(BB28=3,IF('Исходные данные'!F26&lt;=1000,0.017*2,IF('Исходные данные'!F26&lt;=2000,0.022*2,IF('Исходные данные'!F26&gt;2000,0.028*2,0))),0)))</f>
        <v>0</v>
      </c>
      <c r="BD28" s="357">
        <f>BC28*'Исходные данные'!H26</f>
        <v>0</v>
      </c>
      <c r="BE28" s="18">
        <f>'Труматик гермики'!P27</f>
        <v>0</v>
      </c>
      <c r="BF28" s="18">
        <f t="shared" si="9"/>
        <v>0</v>
      </c>
      <c r="BG28">
        <f t="shared" si="10"/>
        <v>0</v>
      </c>
      <c r="BH28" s="357">
        <f>BG28*'Исходные данные'!H26</f>
        <v>0</v>
      </c>
      <c r="BI28">
        <f>IF(F28="Регуляр",IF(BB28=1,0.022*'Труматик гермики'!AB27,0),0)</f>
        <v>0</v>
      </c>
      <c r="BJ28" s="357">
        <f>BI28*'Исходные данные'!H26</f>
        <v>0</v>
      </c>
      <c r="BK28">
        <f t="shared" si="11"/>
        <v>0</v>
      </c>
      <c r="BL28">
        <f t="shared" si="12"/>
        <v>0</v>
      </c>
      <c r="BM28">
        <f>IF(BL28=3,0.006*2*'Исходные данные'!H26,IF(BL28=4,0.006*1.2*2*'Исходные данные'!H26,IF(BL28=5,IF('Исходные данные'!G26&lt;=290,0.006*2*'Исходные данные'!H26,0.012*2*'Исходные данные'!H26),IF(BL28=6,IF('Исходные данные'!G26&lt;=290,0.006*1.2*2*'Исходные данные'!H26,0.012*1.2*2*'Исходные данные'!H26),0))))</f>
        <v>0</v>
      </c>
      <c r="BN28">
        <f t="shared" si="13"/>
        <v>0</v>
      </c>
      <c r="BO28" s="359">
        <f t="shared" si="14"/>
        <v>0</v>
      </c>
      <c r="BP28">
        <f t="shared" si="15"/>
        <v>0</v>
      </c>
      <c r="BQ28">
        <f>IF(AH28="ОЦ",IF('Исходные данные'!F26&lt;=2000,0.012,IF('Исходные данные'!F26&gt;2000,0.018,0)),IF(AH28="нерж",IF('Исходные данные'!F26&lt;=2000,0.012*1.2,IF('Исходные данные'!F26&gt;2000,0.018*1.2,0)),0))</f>
        <v>0</v>
      </c>
      <c r="BR28" s="357">
        <f t="shared" si="16"/>
        <v>0</v>
      </c>
    </row>
    <row r="29" spans="1:70" ht="21.75" customHeight="1" thickBot="1">
      <c r="D29" s="152"/>
      <c r="E29" s="148"/>
      <c r="F29" s="148"/>
      <c r="G29" s="148"/>
      <c r="H29" s="148"/>
      <c r="I29" s="150"/>
      <c r="J29" s="166"/>
      <c r="K29" s="148"/>
      <c r="L29" s="150"/>
      <c r="M29" s="166"/>
      <c r="N29" s="175"/>
      <c r="O29" s="153"/>
      <c r="P29" s="379"/>
      <c r="Q29" s="153"/>
      <c r="R29" s="212">
        <f>AO29+AQ29</f>
        <v>0</v>
      </c>
      <c r="S29" s="243"/>
      <c r="T29" s="244"/>
      <c r="U29" s="244"/>
      <c r="V29" s="212">
        <f>AW29</f>
        <v>0</v>
      </c>
      <c r="W29" s="243"/>
      <c r="X29" s="154"/>
      <c r="Y29" s="154"/>
      <c r="Z29" s="155"/>
      <c r="AA29" s="308">
        <f>BA29</f>
        <v>0</v>
      </c>
      <c r="AB29" s="306"/>
      <c r="AC29" s="308">
        <f>BD29+BH29</f>
        <v>0</v>
      </c>
      <c r="AD29" s="153"/>
      <c r="AE29" s="153"/>
      <c r="AF29" s="153"/>
      <c r="AG29" s="212">
        <f>BO29</f>
        <v>0</v>
      </c>
      <c r="AH29" s="153"/>
      <c r="AI29" s="360">
        <f>BR29</f>
        <v>0</v>
      </c>
      <c r="AO29">
        <f>SUM(AO8:AO28)</f>
        <v>0</v>
      </c>
      <c r="AQ29">
        <f>SUM(AQ8:AQ28)</f>
        <v>0</v>
      </c>
      <c r="AW29" s="355">
        <f>SUM(AW8:AW28)</f>
        <v>0</v>
      </c>
      <c r="BA29">
        <f>SUM(BA8:BA28)</f>
        <v>0</v>
      </c>
      <c r="BD29">
        <f>SUM(BD8:BD28)</f>
        <v>0</v>
      </c>
      <c r="BH29" s="18">
        <f>SUM(BH8:BH28)</f>
        <v>0</v>
      </c>
      <c r="BJ29">
        <f>SUM(BJ8:BJ28)</f>
        <v>0</v>
      </c>
      <c r="BO29">
        <f>SUM(BO8:BO28)</f>
        <v>0</v>
      </c>
      <c r="BR29">
        <f>SUM(BR8:BR28)</f>
        <v>0</v>
      </c>
    </row>
    <row r="30" spans="1:70" ht="21.75" customHeight="1">
      <c r="D30" s="152"/>
      <c r="E30" s="148"/>
      <c r="F30" s="148"/>
      <c r="G30" s="148"/>
      <c r="H30" s="148"/>
      <c r="I30" s="150"/>
      <c r="J30" s="166"/>
      <c r="K30" s="148"/>
      <c r="L30" s="150"/>
      <c r="M30" s="166"/>
      <c r="N30" s="148"/>
      <c r="O30" s="153"/>
      <c r="P30" s="153"/>
      <c r="Q30" s="153"/>
      <c r="R30" s="153"/>
      <c r="S30" s="153"/>
      <c r="T30" s="153"/>
      <c r="U30" s="153"/>
      <c r="V30" s="153"/>
      <c r="W30" s="153"/>
      <c r="X30" s="154"/>
      <c r="Y30" s="154"/>
      <c r="Z30" s="155"/>
      <c r="AA30" s="155"/>
      <c r="AB30" s="155"/>
      <c r="AC30" s="155"/>
      <c r="AD30" s="153"/>
      <c r="AE30" s="153"/>
      <c r="AF30" s="153"/>
      <c r="AG30" s="153"/>
      <c r="AH30" s="153"/>
    </row>
    <row r="31" spans="1:70" ht="21.75" customHeight="1">
      <c r="D31" s="152"/>
      <c r="E31" s="148"/>
      <c r="F31" s="148"/>
      <c r="G31" s="148"/>
      <c r="H31" s="148"/>
      <c r="I31" s="150"/>
      <c r="J31" s="166"/>
      <c r="K31" s="148"/>
      <c r="L31" s="150"/>
      <c r="M31" s="166"/>
      <c r="N31" s="148"/>
      <c r="O31" s="153"/>
      <c r="P31" s="153"/>
      <c r="Q31" s="153"/>
      <c r="R31" s="153"/>
      <c r="S31" s="153"/>
      <c r="T31" s="153"/>
      <c r="U31" s="153"/>
      <c r="V31" s="153"/>
      <c r="W31" s="153"/>
      <c r="X31" s="154"/>
      <c r="Y31" s="154"/>
      <c r="Z31" s="155"/>
      <c r="AA31" s="155"/>
      <c r="AB31" s="155"/>
      <c r="AC31" s="155"/>
      <c r="AD31" s="153"/>
      <c r="AE31" s="153"/>
      <c r="AF31" s="153"/>
      <c r="AG31" s="153"/>
      <c r="AH31" s="153"/>
    </row>
    <row r="32" spans="1:70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465"/>
      <c r="P32" s="465"/>
      <c r="Q32" s="465"/>
      <c r="R32" s="465"/>
      <c r="S32" s="177"/>
      <c r="T32" s="166"/>
      <c r="U32" s="373"/>
      <c r="V32" s="166"/>
      <c r="W32" s="166"/>
      <c r="Z32" s="166"/>
      <c r="AA32" s="177"/>
      <c r="AB32" s="104"/>
      <c r="AC32" s="256"/>
    </row>
    <row r="33" spans="3:29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P33" s="18"/>
      <c r="Q33" s="18"/>
      <c r="R33" s="104"/>
      <c r="S33" s="177"/>
      <c r="T33" s="166"/>
      <c r="U33" s="373"/>
      <c r="V33" s="166"/>
      <c r="W33" s="166"/>
      <c r="Z33" s="166"/>
      <c r="AA33" s="177"/>
      <c r="AB33" s="104"/>
      <c r="AC33" s="256"/>
    </row>
    <row r="34" spans="3:29" ht="61.5">
      <c r="C34" s="18"/>
      <c r="D34" s="547" t="s">
        <v>211</v>
      </c>
      <c r="E34" s="547"/>
      <c r="F34" s="381">
        <f>R29+V29+AA29+AC29+AG29+AI29</f>
        <v>0</v>
      </c>
      <c r="G34" s="50"/>
      <c r="H34" s="174">
        <f>'Исходные данные'!H33</f>
        <v>0</v>
      </c>
      <c r="I34" s="160"/>
      <c r="J34" s="160"/>
      <c r="K34" s="50"/>
      <c r="L34" s="50"/>
      <c r="M34" s="50"/>
      <c r="N34" s="50"/>
      <c r="Q34" s="104"/>
      <c r="R34" s="465"/>
      <c r="S34" s="465"/>
      <c r="T34" s="465"/>
      <c r="U34" s="465"/>
      <c r="V34" s="465"/>
      <c r="W34" s="465"/>
      <c r="X34" s="465"/>
      <c r="Y34" s="386" t="s">
        <v>382</v>
      </c>
      <c r="Z34" s="166"/>
      <c r="AA34" s="177"/>
      <c r="AB34" s="99"/>
      <c r="AC34" s="256"/>
    </row>
    <row r="35" spans="3:29">
      <c r="C35" s="18"/>
      <c r="D35" s="18"/>
      <c r="E35" s="18"/>
      <c r="F35" s="18"/>
      <c r="G35" s="18"/>
      <c r="K35" s="18"/>
      <c r="L35" s="18"/>
      <c r="M35" s="18"/>
      <c r="N35" s="18"/>
      <c r="Q35" s="104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3:29" ht="22.5"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2"/>
      <c r="P36" s="271"/>
      <c r="Q36" s="272"/>
      <c r="R36" s="271"/>
      <c r="S36" s="271"/>
      <c r="T36" s="271"/>
      <c r="U36" s="271"/>
      <c r="V36" s="271"/>
      <c r="W36" s="271"/>
      <c r="X36" s="114"/>
      <c r="Y36" s="18"/>
      <c r="Z36" s="18"/>
      <c r="AA36" s="18"/>
      <c r="AB36" s="18"/>
      <c r="AC36" s="18"/>
    </row>
    <row r="37" spans="3:29" ht="22.5">
      <c r="E37" s="271"/>
      <c r="F37" s="271" t="s">
        <v>324</v>
      </c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271"/>
      <c r="Y37" s="18"/>
      <c r="Z37" s="18"/>
      <c r="AA37" s="18"/>
      <c r="AB37" s="18"/>
      <c r="AC37" s="18"/>
    </row>
    <row r="38" spans="3:29" ht="22.5">
      <c r="C38" s="18"/>
      <c r="D38" s="18"/>
      <c r="E38" s="271"/>
      <c r="F38" s="271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271"/>
      <c r="Y38" s="18"/>
      <c r="Z38" s="18"/>
      <c r="AA38" s="18"/>
      <c r="AB38" s="18"/>
      <c r="AC38" s="18"/>
    </row>
    <row r="39" spans="3:29" ht="22.5">
      <c r="C39" s="18"/>
      <c r="D39" s="18"/>
      <c r="E39" s="271"/>
      <c r="F39" s="271" t="s">
        <v>329</v>
      </c>
      <c r="G39" s="271"/>
      <c r="H39" s="271"/>
      <c r="I39" s="271"/>
      <c r="J39" s="271" t="s">
        <v>327</v>
      </c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</row>
    <row r="40" spans="3:29" ht="22.5">
      <c r="C40" s="18"/>
      <c r="D40" s="18"/>
      <c r="E40" s="271"/>
      <c r="F40" s="271"/>
      <c r="G40" s="271"/>
      <c r="H40" s="271"/>
      <c r="I40" s="271"/>
      <c r="J40" s="271"/>
      <c r="K40" s="271"/>
      <c r="L40" s="267" t="s">
        <v>325</v>
      </c>
      <c r="M40" s="271"/>
      <c r="N40" s="271"/>
      <c r="O40" s="271"/>
      <c r="P40" s="271"/>
      <c r="R40" s="271"/>
      <c r="S40" s="271"/>
      <c r="T40" s="271"/>
      <c r="U40" s="271"/>
      <c r="V40" s="271"/>
      <c r="W40" s="271"/>
      <c r="X40" s="271"/>
    </row>
    <row r="41" spans="3:29" ht="22.5">
      <c r="C41" s="18"/>
      <c r="D41" s="18"/>
      <c r="E41" s="271"/>
      <c r="F41" s="271"/>
      <c r="G41" s="114"/>
      <c r="H41" s="114"/>
      <c r="I41" s="114"/>
      <c r="J41" s="114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</row>
    <row r="42" spans="3:29" ht="22.5"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2"/>
      <c r="S42" s="272"/>
      <c r="T42" s="272"/>
      <c r="U42" s="272"/>
      <c r="V42" s="272"/>
      <c r="W42" s="272"/>
      <c r="X42" s="271"/>
      <c r="Z42" s="166"/>
      <c r="AA42" s="177"/>
      <c r="AB42" s="104"/>
      <c r="AC42" s="256"/>
    </row>
    <row r="43" spans="3:29" ht="22.5"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114"/>
      <c r="S43" s="114"/>
      <c r="T43" s="114"/>
      <c r="U43" s="114"/>
      <c r="V43" s="114"/>
      <c r="W43" s="114"/>
      <c r="X43" s="271"/>
      <c r="Z43" s="18"/>
      <c r="AA43" s="18"/>
      <c r="AB43" s="18"/>
      <c r="AC43" s="18"/>
    </row>
    <row r="44" spans="3:29" ht="22.5"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</row>
    <row r="45" spans="3:29" ht="22.5"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</row>
  </sheetData>
  <sheetProtection formatCells="0" formatColumns="0" formatRows="0" insertColumns="0" insertRows="0" insertHyperlinks="0" deleteColumns="0" deleteRows="0" sort="0" autoFilter="0" pivotTables="0"/>
  <mergeCells count="112">
    <mergeCell ref="D34:E34"/>
    <mergeCell ref="BR6:BR7"/>
    <mergeCell ref="BP4:BR5"/>
    <mergeCell ref="BO4:BO7"/>
    <mergeCell ref="AH4:AI5"/>
    <mergeCell ref="AI6:AI7"/>
    <mergeCell ref="AH6:AH7"/>
    <mergeCell ref="BP6:BP7"/>
    <mergeCell ref="BQ6:BQ7"/>
    <mergeCell ref="BB4:BC7"/>
    <mergeCell ref="BG4:BG7"/>
    <mergeCell ref="BI4:BI7"/>
    <mergeCell ref="BK4:BN5"/>
    <mergeCell ref="BD4:BD7"/>
    <mergeCell ref="BH4:BH7"/>
    <mergeCell ref="BJ4:BJ7"/>
    <mergeCell ref="AY4:AZ7"/>
    <mergeCell ref="BA4:BA7"/>
    <mergeCell ref="AT4:AT6"/>
    <mergeCell ref="BE4:BE7"/>
    <mergeCell ref="BF4:BF7"/>
    <mergeCell ref="AY24:AZ24"/>
    <mergeCell ref="AY25:AZ25"/>
    <mergeCell ref="AY26:AZ26"/>
    <mergeCell ref="AY27:AZ27"/>
    <mergeCell ref="AY28:AZ28"/>
    <mergeCell ref="AY19:AZ19"/>
    <mergeCell ref="AY20:AZ20"/>
    <mergeCell ref="AY21:AZ21"/>
    <mergeCell ref="AY22:AZ22"/>
    <mergeCell ref="AY23:AZ23"/>
    <mergeCell ref="AY14:AZ14"/>
    <mergeCell ref="AY15:AZ15"/>
    <mergeCell ref="AY16:AZ16"/>
    <mergeCell ref="AY17:AZ17"/>
    <mergeCell ref="AY18:AZ18"/>
    <mergeCell ref="AY9:AZ9"/>
    <mergeCell ref="AY10:AZ10"/>
    <mergeCell ref="AY11:AZ11"/>
    <mergeCell ref="AY12:AZ12"/>
    <mergeCell ref="AY13:AZ13"/>
    <mergeCell ref="AY8:AZ8"/>
    <mergeCell ref="AS4:AS6"/>
    <mergeCell ref="AW4:AW6"/>
    <mergeCell ref="AX4:AX6"/>
    <mergeCell ref="AN3:AQ3"/>
    <mergeCell ref="AN4:AQ4"/>
    <mergeCell ref="P6:P7"/>
    <mergeCell ref="Q6:Q7"/>
    <mergeCell ref="V4:V6"/>
    <mergeCell ref="AD6:AD7"/>
    <mergeCell ref="R6:R7"/>
    <mergeCell ref="AC4:AC7"/>
    <mergeCell ref="AB4:AB7"/>
    <mergeCell ref="AE6:AE7"/>
    <mergeCell ref="AA4:AA7"/>
    <mergeCell ref="X8:Y8"/>
    <mergeCell ref="AJ4:AK8"/>
    <mergeCell ref="D2:AG2"/>
    <mergeCell ref="O4:R4"/>
    <mergeCell ref="H5:H7"/>
    <mergeCell ref="K5:K7"/>
    <mergeCell ref="N5:N7"/>
    <mergeCell ref="Q5:R5"/>
    <mergeCell ref="AD4:AE5"/>
    <mergeCell ref="O5:P5"/>
    <mergeCell ref="Z4:Z6"/>
    <mergeCell ref="T4:T6"/>
    <mergeCell ref="M5:M7"/>
    <mergeCell ref="D4:L4"/>
    <mergeCell ref="AF4:AF7"/>
    <mergeCell ref="O6:O7"/>
    <mergeCell ref="W4:W6"/>
    <mergeCell ref="AG4:AG7"/>
    <mergeCell ref="S4:S7"/>
    <mergeCell ref="X4:Y7"/>
    <mergeCell ref="R34:X34"/>
    <mergeCell ref="B6:B22"/>
    <mergeCell ref="C6:C22"/>
    <mergeCell ref="D5:D7"/>
    <mergeCell ref="E5:E7"/>
    <mergeCell ref="F5:F7"/>
    <mergeCell ref="G5:G7"/>
    <mergeCell ref="J5:J7"/>
    <mergeCell ref="L5:L7"/>
    <mergeCell ref="X9:Y9"/>
    <mergeCell ref="X10:Y10"/>
    <mergeCell ref="X11:Y11"/>
    <mergeCell ref="X14:Y14"/>
    <mergeCell ref="X15:Y15"/>
    <mergeCell ref="X16:Y16"/>
    <mergeCell ref="X28:Y28"/>
    <mergeCell ref="X27:Y27"/>
    <mergeCell ref="X12:Y12"/>
    <mergeCell ref="X13:Y13"/>
    <mergeCell ref="X25:Y25"/>
    <mergeCell ref="X26:Y26"/>
    <mergeCell ref="X19:Y19"/>
    <mergeCell ref="X20:Y20"/>
    <mergeCell ref="X21:Y21"/>
    <mergeCell ref="A10:A22"/>
    <mergeCell ref="AL10:AL19"/>
    <mergeCell ref="O32:R32"/>
    <mergeCell ref="X24:Y24"/>
    <mergeCell ref="X17:Y17"/>
    <mergeCell ref="X18:Y18"/>
    <mergeCell ref="X22:Y22"/>
    <mergeCell ref="X23:Y23"/>
    <mergeCell ref="AM11:AM13"/>
    <mergeCell ref="AM15:AM23"/>
    <mergeCell ref="AJ17:AJ22"/>
    <mergeCell ref="AK10:AK22"/>
  </mergeCells>
  <pageMargins left="0.19685039370078741" right="0.19685039370078741" top="0.19685039370078741" bottom="0.19685039370078741" header="0.31496062992125984" footer="0.31496062992125984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3"/>
  <sheetViews>
    <sheetView topLeftCell="A9" zoomScale="72" zoomScaleNormal="72" workbookViewId="0">
      <selection sqref="A1:M42"/>
    </sheetView>
  </sheetViews>
  <sheetFormatPr defaultRowHeight="15"/>
  <cols>
    <col min="1" max="1" width="18.42578125" customWidth="1"/>
    <col min="2" max="3" width="0" hidden="1" customWidth="1"/>
    <col min="5" max="5" width="10.7109375" customWidth="1"/>
    <col min="6" max="6" width="15.7109375" customWidth="1"/>
    <col min="7" max="7" width="3.85546875" customWidth="1"/>
    <col min="8" max="8" width="12.28515625" customWidth="1"/>
    <col min="9" max="9" width="10.140625" customWidth="1"/>
    <col min="10" max="10" width="15" customWidth="1"/>
    <col min="11" max="11" width="9" customWidth="1"/>
    <col min="12" max="12" width="11.7109375" customWidth="1"/>
    <col min="13" max="13" width="20" customWidth="1"/>
  </cols>
  <sheetData>
    <row r="1" spans="1:20" ht="15" customHeight="1">
      <c r="D1" s="96"/>
      <c r="E1" s="72"/>
      <c r="F1" s="72"/>
      <c r="G1" s="72"/>
      <c r="H1" s="72"/>
      <c r="I1" s="72"/>
      <c r="J1" s="72"/>
      <c r="K1" s="18"/>
      <c r="L1" s="18"/>
      <c r="M1" s="93"/>
    </row>
    <row r="2" spans="1:20" ht="22.5" customHeight="1">
      <c r="A2" s="571">
        <f>'Исходные данные'!F4</f>
        <v>0</v>
      </c>
      <c r="B2" s="572"/>
      <c r="D2" s="519" t="s">
        <v>310</v>
      </c>
      <c r="E2" s="520"/>
      <c r="F2" s="520"/>
      <c r="G2" s="520"/>
      <c r="H2" s="520"/>
      <c r="I2" s="520"/>
      <c r="J2" s="520"/>
      <c r="K2" s="520"/>
      <c r="L2" s="520"/>
      <c r="M2" s="93"/>
      <c r="N2" s="583"/>
      <c r="O2" s="584"/>
    </row>
    <row r="3" spans="1:20" ht="15.75" thickBot="1">
      <c r="A3" s="571"/>
      <c r="B3" s="572"/>
      <c r="D3" s="95"/>
      <c r="E3" s="18"/>
      <c r="F3" s="18"/>
      <c r="G3" s="18"/>
      <c r="H3" s="18"/>
      <c r="I3" s="18"/>
      <c r="J3" s="18"/>
      <c r="K3" s="18"/>
      <c r="L3" s="18"/>
      <c r="M3" s="93"/>
      <c r="N3" s="583"/>
      <c r="O3" s="584"/>
    </row>
    <row r="4" spans="1:20" ht="16.5" customHeight="1" thickBot="1">
      <c r="A4" s="571"/>
      <c r="B4" s="572"/>
      <c r="C4" s="34"/>
      <c r="D4" s="574" t="s">
        <v>227</v>
      </c>
      <c r="E4" s="577" t="s">
        <v>4</v>
      </c>
      <c r="F4" s="577" t="s">
        <v>0</v>
      </c>
      <c r="G4" s="574" t="s">
        <v>44</v>
      </c>
      <c r="H4" s="580" t="s">
        <v>2</v>
      </c>
      <c r="I4" s="580" t="s">
        <v>3</v>
      </c>
      <c r="J4" s="580" t="s">
        <v>323</v>
      </c>
      <c r="K4" s="573" t="s">
        <v>271</v>
      </c>
      <c r="L4" s="574" t="s">
        <v>5</v>
      </c>
      <c r="M4" s="93"/>
      <c r="N4" s="583"/>
      <c r="O4" s="584"/>
      <c r="P4" s="34"/>
    </row>
    <row r="5" spans="1:20" ht="28.5" customHeight="1" thickBot="1">
      <c r="A5" s="571"/>
      <c r="B5" s="572"/>
      <c r="D5" s="575"/>
      <c r="E5" s="578"/>
      <c r="F5" s="578"/>
      <c r="G5" s="575"/>
      <c r="H5" s="581"/>
      <c r="I5" s="581"/>
      <c r="J5" s="581"/>
      <c r="K5" s="573"/>
      <c r="L5" s="575"/>
      <c r="M5" s="98"/>
      <c r="N5" s="583"/>
      <c r="O5" s="584"/>
    </row>
    <row r="6" spans="1:20" ht="27" customHeight="1" thickBot="1">
      <c r="A6" s="571"/>
      <c r="B6" s="572"/>
      <c r="D6" s="575"/>
      <c r="E6" s="578"/>
      <c r="F6" s="578"/>
      <c r="G6" s="575"/>
      <c r="H6" s="581"/>
      <c r="I6" s="581"/>
      <c r="J6" s="581"/>
      <c r="K6" s="573"/>
      <c r="L6" s="575"/>
      <c r="M6" s="93"/>
      <c r="N6" s="583"/>
      <c r="O6" s="584"/>
    </row>
    <row r="7" spans="1:20" ht="18.75" customHeight="1" thickBot="1">
      <c r="A7" s="571"/>
      <c r="B7" s="572"/>
      <c r="D7" s="576"/>
      <c r="E7" s="579"/>
      <c r="F7" s="579"/>
      <c r="G7" s="576"/>
      <c r="H7" s="582"/>
      <c r="I7" s="582"/>
      <c r="J7" s="582"/>
      <c r="K7" s="211" t="s">
        <v>7</v>
      </c>
      <c r="L7" s="576"/>
      <c r="M7" s="98"/>
      <c r="N7" s="583"/>
      <c r="O7" s="584"/>
    </row>
    <row r="8" spans="1:20" ht="65.25" customHeight="1">
      <c r="A8" s="571"/>
      <c r="B8" s="572"/>
      <c r="C8" s="281"/>
      <c r="D8" s="140" t="s">
        <v>247</v>
      </c>
      <c r="E8" s="403">
        <f>'Исходные данные'!B6</f>
        <v>0</v>
      </c>
      <c r="F8" s="404">
        <f>'Исходные данные'!C6</f>
        <v>0</v>
      </c>
      <c r="G8" s="403">
        <f>'Исходные данные'!D6</f>
        <v>0</v>
      </c>
      <c r="H8" s="403">
        <f>'Исходные данные'!F6</f>
        <v>0</v>
      </c>
      <c r="I8" s="403">
        <f>'Исходные данные'!G6</f>
        <v>0</v>
      </c>
      <c r="J8" s="403">
        <f>'Исходные данные'!H6</f>
        <v>0</v>
      </c>
      <c r="K8" s="405">
        <f>IF('Исходные данные'!M6=1,'Исходные данные'!G6-4,IF('Исходные данные'!M6=3,'Исходные данные'!G6-4,IF('Исходные данные'!M6=2,"---",IF('Исходные данные'!M6=4,"---",))))</f>
        <v>0</v>
      </c>
      <c r="L8" s="406">
        <f>'Труматик гермики'!S7</f>
        <v>0</v>
      </c>
      <c r="M8" s="93"/>
      <c r="N8" s="583"/>
      <c r="O8" s="584"/>
      <c r="P8" s="172"/>
      <c r="S8">
        <f>IF(K8&lt;=250,0.009,IF(K8&lt;=500,0.011,IF(K8&lt;=750,0.012,IF(K8&lt;=1000,0.014,IF(K8&lt;=1250,0.015,IF(K8&gt;1251,0.023,0))))))</f>
        <v>8.9999999999999993E-3</v>
      </c>
      <c r="T8">
        <f>S8*L8</f>
        <v>0</v>
      </c>
    </row>
    <row r="9" spans="1:20" ht="48" customHeight="1">
      <c r="A9" s="571"/>
      <c r="B9" s="572"/>
      <c r="C9" s="281"/>
      <c r="D9" s="142" t="s">
        <v>248</v>
      </c>
      <c r="E9" s="404">
        <f>'Исходные данные'!B7</f>
        <v>0</v>
      </c>
      <c r="F9" s="404">
        <f>'Исходные данные'!C7</f>
        <v>0</v>
      </c>
      <c r="G9" s="404">
        <f>'Исходные данные'!D7</f>
        <v>0</v>
      </c>
      <c r="H9" s="404">
        <f>'Исходные данные'!F7</f>
        <v>0</v>
      </c>
      <c r="I9" s="404">
        <f>'Исходные данные'!G7</f>
        <v>0</v>
      </c>
      <c r="J9" s="404">
        <f>'Исходные данные'!H7</f>
        <v>0</v>
      </c>
      <c r="K9" s="407">
        <f>IF('Исходные данные'!M7=1,'Исходные данные'!G7-4,IF('Исходные данные'!M7=3,'Исходные данные'!G7-4,IF('Исходные данные'!M7=2,"---",IF('Исходные данные'!M7=4,"---",))))</f>
        <v>0</v>
      </c>
      <c r="L9" s="408">
        <f>'Труматик гермики'!S8</f>
        <v>0</v>
      </c>
      <c r="M9" s="93"/>
      <c r="N9" s="151"/>
      <c r="O9" s="112"/>
      <c r="P9" s="172"/>
      <c r="S9">
        <f t="shared" ref="S9:S28" si="0">IF(K9&lt;=250,0.009,IF(K9&lt;=500,0.011,IF(K9&lt;=750,0.012,IF(K9&lt;=1000,0.014,IF(K9&lt;=1250,0.015,IF(K9&gt;1251,0.023,0))))))</f>
        <v>8.9999999999999993E-3</v>
      </c>
      <c r="T9">
        <f t="shared" ref="T9:T28" si="1">S9*L9</f>
        <v>0</v>
      </c>
    </row>
    <row r="10" spans="1:20" ht="45" customHeight="1">
      <c r="A10" s="151"/>
      <c r="B10" s="509" t="s">
        <v>280</v>
      </c>
      <c r="C10" s="506"/>
      <c r="D10" s="142" t="s">
        <v>249</v>
      </c>
      <c r="E10" s="404">
        <f>'Исходные данные'!B8</f>
        <v>0</v>
      </c>
      <c r="F10" s="404">
        <f>'Исходные данные'!C8</f>
        <v>0</v>
      </c>
      <c r="G10" s="404">
        <f>'Исходные данные'!D8</f>
        <v>0</v>
      </c>
      <c r="H10" s="404">
        <f>'Исходные данные'!F8</f>
        <v>0</v>
      </c>
      <c r="I10" s="404">
        <f>'Исходные данные'!G8</f>
        <v>0</v>
      </c>
      <c r="J10" s="404">
        <f>'Исходные данные'!H8</f>
        <v>0</v>
      </c>
      <c r="K10" s="407">
        <f>IF('Исходные данные'!M8=1,'Исходные данные'!G8-4,IF('Исходные данные'!M8=3,'Исходные данные'!G8-4,IF('Исходные данные'!M8=2,"---",IF('Исходные данные'!M8=4,"---",))))</f>
        <v>0</v>
      </c>
      <c r="L10" s="408">
        <f>'Труматик гермики'!S9</f>
        <v>0</v>
      </c>
      <c r="M10" s="93"/>
      <c r="N10" s="151"/>
      <c r="O10" s="509"/>
      <c r="P10" s="506"/>
      <c r="Q10" s="172"/>
      <c r="R10" s="172"/>
      <c r="S10">
        <f t="shared" si="0"/>
        <v>8.9999999999999993E-3</v>
      </c>
      <c r="T10">
        <f t="shared" si="1"/>
        <v>0</v>
      </c>
    </row>
    <row r="11" spans="1:20" ht="41.25" customHeight="1">
      <c r="A11" s="151"/>
      <c r="B11" s="509"/>
      <c r="C11" s="506"/>
      <c r="D11" s="142" t="s">
        <v>250</v>
      </c>
      <c r="E11" s="404">
        <f>'Исходные данные'!B9</f>
        <v>0</v>
      </c>
      <c r="F11" s="404">
        <f>'Исходные данные'!C9</f>
        <v>0</v>
      </c>
      <c r="G11" s="404">
        <f>'Исходные данные'!D9</f>
        <v>0</v>
      </c>
      <c r="H11" s="404">
        <f>'Исходные данные'!F9</f>
        <v>0</v>
      </c>
      <c r="I11" s="404">
        <f>'Исходные данные'!G9</f>
        <v>0</v>
      </c>
      <c r="J11" s="404">
        <f>'Исходные данные'!H9</f>
        <v>0</v>
      </c>
      <c r="K11" s="407">
        <f>IF('Исходные данные'!M9=1,'Исходные данные'!G9-4,IF('Исходные данные'!M9=3,'Исходные данные'!G9-4,IF('Исходные данные'!M9=2,"---",IF('Исходные данные'!M9=4,"---",))))</f>
        <v>0</v>
      </c>
      <c r="L11" s="408">
        <f>'Труматик гермики'!S10</f>
        <v>0</v>
      </c>
      <c r="M11" s="93"/>
      <c r="N11" s="151"/>
      <c r="O11" s="509"/>
      <c r="P11" s="506"/>
      <c r="Q11" s="506"/>
      <c r="R11" s="172"/>
      <c r="S11">
        <f t="shared" si="0"/>
        <v>8.9999999999999993E-3</v>
      </c>
      <c r="T11">
        <f t="shared" si="1"/>
        <v>0</v>
      </c>
    </row>
    <row r="12" spans="1:20" ht="40.5" customHeight="1">
      <c r="A12" s="151"/>
      <c r="B12" s="509"/>
      <c r="C12" s="506"/>
      <c r="D12" s="142" t="s">
        <v>251</v>
      </c>
      <c r="E12" s="404">
        <f>'Исходные данные'!B10</f>
        <v>0</v>
      </c>
      <c r="F12" s="404">
        <f>'Исходные данные'!C10</f>
        <v>0</v>
      </c>
      <c r="G12" s="404">
        <f>'Исходные данные'!D10</f>
        <v>0</v>
      </c>
      <c r="H12" s="404">
        <f>'Исходные данные'!F10</f>
        <v>0</v>
      </c>
      <c r="I12" s="404">
        <f>'Исходные данные'!G10</f>
        <v>0</v>
      </c>
      <c r="J12" s="404">
        <f>'Исходные данные'!H10</f>
        <v>0</v>
      </c>
      <c r="K12" s="407">
        <f>IF('Исходные данные'!M10=1,'Исходные данные'!G10-4,IF('Исходные данные'!M10=3,'Исходные данные'!G10-4,IF('Исходные данные'!M10=2,"---",IF('Исходные данные'!M10=4,"---",))))</f>
        <v>0</v>
      </c>
      <c r="L12" s="408">
        <f>'Труматик гермики'!S11</f>
        <v>0</v>
      </c>
      <c r="M12" s="93"/>
      <c r="N12" s="151"/>
      <c r="O12" s="509"/>
      <c r="P12" s="506"/>
      <c r="Q12" s="506"/>
      <c r="R12" s="172"/>
      <c r="S12">
        <f t="shared" si="0"/>
        <v>8.9999999999999993E-3</v>
      </c>
      <c r="T12">
        <f t="shared" si="1"/>
        <v>0</v>
      </c>
    </row>
    <row r="13" spans="1:20" ht="21.75" customHeight="1">
      <c r="A13" s="151"/>
      <c r="B13" s="509"/>
      <c r="C13" s="506"/>
      <c r="D13" s="142" t="s">
        <v>252</v>
      </c>
      <c r="E13" s="404">
        <f>'Исходные данные'!B11</f>
        <v>0</v>
      </c>
      <c r="F13" s="404">
        <f>'Исходные данные'!C11</f>
        <v>0</v>
      </c>
      <c r="G13" s="404">
        <f>'Исходные данные'!D11</f>
        <v>0</v>
      </c>
      <c r="H13" s="404">
        <f>'Исходные данные'!F11</f>
        <v>0</v>
      </c>
      <c r="I13" s="404">
        <f>'Исходные данные'!G11</f>
        <v>0</v>
      </c>
      <c r="J13" s="404">
        <f>'Исходные данные'!H11</f>
        <v>0</v>
      </c>
      <c r="K13" s="407">
        <f>IF('Исходные данные'!M11=1,'Исходные данные'!G11-4,IF('Исходные данные'!M11=3,'Исходные данные'!G11-4,IF('Исходные данные'!M11=2,"---",IF('Исходные данные'!M11=4,"---",))))</f>
        <v>0</v>
      </c>
      <c r="L13" s="408">
        <f>'Труматик гермики'!S12</f>
        <v>0</v>
      </c>
      <c r="M13" s="93"/>
      <c r="N13" s="151"/>
      <c r="O13" s="509"/>
      <c r="P13" s="506"/>
      <c r="Q13" s="506"/>
      <c r="R13" s="172"/>
      <c r="S13">
        <f t="shared" si="0"/>
        <v>8.9999999999999993E-3</v>
      </c>
      <c r="T13">
        <f t="shared" si="1"/>
        <v>0</v>
      </c>
    </row>
    <row r="14" spans="1:20" ht="21.75" customHeight="1">
      <c r="B14" s="509"/>
      <c r="C14" s="506"/>
      <c r="D14" s="142" t="s">
        <v>253</v>
      </c>
      <c r="E14" s="404">
        <f>'Исходные данные'!B12</f>
        <v>0</v>
      </c>
      <c r="F14" s="404">
        <f>'Исходные данные'!C12</f>
        <v>0</v>
      </c>
      <c r="G14" s="404">
        <f>'Исходные данные'!D12</f>
        <v>0</v>
      </c>
      <c r="H14" s="404">
        <f>'Исходные данные'!F12</f>
        <v>0</v>
      </c>
      <c r="I14" s="404">
        <f>'Исходные данные'!G12</f>
        <v>0</v>
      </c>
      <c r="J14" s="404">
        <f>'Исходные данные'!H12</f>
        <v>0</v>
      </c>
      <c r="K14" s="407">
        <f>IF('Исходные данные'!M12=1,'Исходные данные'!G12-4,IF('Исходные данные'!M12=3,'Исходные данные'!G12-4,IF('Исходные данные'!M12=2,"---",IF('Исходные данные'!M12=4,"---",))))</f>
        <v>0</v>
      </c>
      <c r="L14" s="408">
        <f>'Труматик гермики'!S13</f>
        <v>0</v>
      </c>
      <c r="M14" s="93"/>
      <c r="O14" s="509"/>
      <c r="P14" s="506"/>
      <c r="Q14" s="118"/>
      <c r="R14" s="172"/>
      <c r="S14">
        <f t="shared" si="0"/>
        <v>8.9999999999999993E-3</v>
      </c>
      <c r="T14">
        <f t="shared" si="1"/>
        <v>0</v>
      </c>
    </row>
    <row r="15" spans="1:20" ht="21.75" customHeight="1">
      <c r="B15" s="509"/>
      <c r="C15" s="506"/>
      <c r="D15" s="142" t="s">
        <v>254</v>
      </c>
      <c r="E15" s="404">
        <f>'Исходные данные'!B13</f>
        <v>0</v>
      </c>
      <c r="F15" s="404">
        <f>'Исходные данные'!C13</f>
        <v>0</v>
      </c>
      <c r="G15" s="404">
        <f>'Исходные данные'!D13</f>
        <v>0</v>
      </c>
      <c r="H15" s="404">
        <f>'Исходные данные'!F13</f>
        <v>0</v>
      </c>
      <c r="I15" s="404">
        <f>'Исходные данные'!G13</f>
        <v>0</v>
      </c>
      <c r="J15" s="404">
        <f>'Исходные данные'!H13</f>
        <v>0</v>
      </c>
      <c r="K15" s="407">
        <f>IF('Исходные данные'!M13=1,'Исходные данные'!G13-4,IF('Исходные данные'!M13=3,'Исходные данные'!G13-4,IF('Исходные данные'!M13=2,"---",IF('Исходные данные'!M13=4,"---",))))</f>
        <v>0</v>
      </c>
      <c r="L15" s="408">
        <f>'Труматик гермики'!S14</f>
        <v>0</v>
      </c>
      <c r="M15" s="93"/>
      <c r="O15" s="509"/>
      <c r="P15" s="506"/>
      <c r="Q15" s="506"/>
      <c r="R15" s="172"/>
      <c r="S15">
        <f t="shared" si="0"/>
        <v>8.9999999999999993E-3</v>
      </c>
      <c r="T15">
        <f t="shared" si="1"/>
        <v>0</v>
      </c>
    </row>
    <row r="16" spans="1:20" ht="21.75" customHeight="1">
      <c r="B16" s="509"/>
      <c r="C16" s="506"/>
      <c r="D16" s="142" t="s">
        <v>255</v>
      </c>
      <c r="E16" s="404">
        <f>'Исходные данные'!B14</f>
        <v>0</v>
      </c>
      <c r="F16" s="404">
        <f>'Исходные данные'!C14</f>
        <v>0</v>
      </c>
      <c r="G16" s="404">
        <f>'Исходные данные'!D14</f>
        <v>0</v>
      </c>
      <c r="H16" s="404">
        <f>'Исходные данные'!F14</f>
        <v>0</v>
      </c>
      <c r="I16" s="404">
        <f>'Исходные данные'!G14</f>
        <v>0</v>
      </c>
      <c r="J16" s="404">
        <f>'Исходные данные'!H14</f>
        <v>0</v>
      </c>
      <c r="K16" s="407">
        <f>IF('Исходные данные'!M14=1,'Исходные данные'!G14-4,IF('Исходные данные'!M14=3,'Исходные данные'!G14-4,IF('Исходные данные'!M14=2,"---",IF('Исходные данные'!M14=4,"---",))))</f>
        <v>0</v>
      </c>
      <c r="L16" s="408">
        <f>'Труматик гермики'!S15</f>
        <v>0</v>
      </c>
      <c r="M16" s="93"/>
      <c r="O16" s="509"/>
      <c r="P16" s="506"/>
      <c r="Q16" s="506"/>
      <c r="R16" s="172"/>
      <c r="S16">
        <f t="shared" si="0"/>
        <v>8.9999999999999993E-3</v>
      </c>
      <c r="T16">
        <f t="shared" si="1"/>
        <v>0</v>
      </c>
    </row>
    <row r="17" spans="1:20" ht="21.75" customHeight="1">
      <c r="A17" s="508" t="s">
        <v>312</v>
      </c>
      <c r="B17" s="509"/>
      <c r="C17" s="506"/>
      <c r="D17" s="142" t="s">
        <v>256</v>
      </c>
      <c r="E17" s="404">
        <f>'Исходные данные'!B15</f>
        <v>0</v>
      </c>
      <c r="F17" s="404">
        <f>'Исходные данные'!C15</f>
        <v>0</v>
      </c>
      <c r="G17" s="404">
        <f>'Исходные данные'!D15</f>
        <v>0</v>
      </c>
      <c r="H17" s="404">
        <f>'Исходные данные'!F15</f>
        <v>0</v>
      </c>
      <c r="I17" s="404">
        <f>'Исходные данные'!G15</f>
        <v>0</v>
      </c>
      <c r="J17" s="404">
        <f>'Исходные данные'!H15</f>
        <v>0</v>
      </c>
      <c r="K17" s="407">
        <f>IF('Исходные данные'!M15=1,'Исходные данные'!G15-4,IF('Исходные данные'!M15=3,'Исходные данные'!G15-4,IF('Исходные данные'!M15=2,"---",IF('Исходные данные'!M15=4,"---",))))</f>
        <v>0</v>
      </c>
      <c r="L17" s="408">
        <f>'Труматик гермики'!S16</f>
        <v>0</v>
      </c>
      <c r="M17" s="93"/>
      <c r="N17" s="508"/>
      <c r="O17" s="509"/>
      <c r="P17" s="506"/>
      <c r="Q17" s="506"/>
      <c r="R17" s="172"/>
      <c r="S17">
        <f t="shared" si="0"/>
        <v>8.9999999999999993E-3</v>
      </c>
      <c r="T17">
        <f t="shared" si="1"/>
        <v>0</v>
      </c>
    </row>
    <row r="18" spans="1:20" ht="21.75" customHeight="1">
      <c r="A18" s="508"/>
      <c r="B18" s="509"/>
      <c r="C18" s="506"/>
      <c r="D18" s="142" t="s">
        <v>257</v>
      </c>
      <c r="E18" s="404">
        <f>'Исходные данные'!B16</f>
        <v>0</v>
      </c>
      <c r="F18" s="404">
        <f>'Исходные данные'!C16</f>
        <v>0</v>
      </c>
      <c r="G18" s="404">
        <f>'Исходные данные'!D16</f>
        <v>0</v>
      </c>
      <c r="H18" s="404">
        <f>'Исходные данные'!F16</f>
        <v>0</v>
      </c>
      <c r="I18" s="404">
        <f>'Исходные данные'!G16</f>
        <v>0</v>
      </c>
      <c r="J18" s="404">
        <f>'Исходные данные'!H16</f>
        <v>0</v>
      </c>
      <c r="K18" s="407">
        <f>IF('Исходные данные'!M16=1,'Исходные данные'!G16-4,IF('Исходные данные'!M16=3,'Исходные данные'!G16-4,IF('Исходные данные'!M16=2,"---",IF('Исходные данные'!M16=4,"---",))))</f>
        <v>0</v>
      </c>
      <c r="L18" s="408">
        <f>'Труматик гермики'!S17</f>
        <v>0</v>
      </c>
      <c r="M18" s="93"/>
      <c r="N18" s="508"/>
      <c r="O18" s="509"/>
      <c r="P18" s="506"/>
      <c r="Q18" s="506"/>
      <c r="R18" s="172"/>
      <c r="S18">
        <f t="shared" si="0"/>
        <v>8.9999999999999993E-3</v>
      </c>
      <c r="T18">
        <f t="shared" si="1"/>
        <v>0</v>
      </c>
    </row>
    <row r="19" spans="1:20" ht="21.75" customHeight="1">
      <c r="A19" s="508"/>
      <c r="B19" s="509"/>
      <c r="C19" s="506"/>
      <c r="D19" s="142" t="s">
        <v>258</v>
      </c>
      <c r="E19" s="404">
        <f>'Исходные данные'!B17</f>
        <v>0</v>
      </c>
      <c r="F19" s="404">
        <f>'Исходные данные'!C17</f>
        <v>0</v>
      </c>
      <c r="G19" s="404">
        <f>'Исходные данные'!D17</f>
        <v>0</v>
      </c>
      <c r="H19" s="404">
        <f>'Исходные данные'!F17</f>
        <v>0</v>
      </c>
      <c r="I19" s="404">
        <f>'Исходные данные'!G17</f>
        <v>0</v>
      </c>
      <c r="J19" s="404">
        <f>'Исходные данные'!H17</f>
        <v>0</v>
      </c>
      <c r="K19" s="407">
        <f>IF('Исходные данные'!M17=1,'Исходные данные'!G17-4,IF('Исходные данные'!M17=3,'Исходные данные'!G17-4,IF('Исходные данные'!M17=2,"---",IF('Исходные данные'!M17=4,"---",))))</f>
        <v>0</v>
      </c>
      <c r="L19" s="408">
        <f>'Труматик гермики'!S18</f>
        <v>0</v>
      </c>
      <c r="M19" s="93"/>
      <c r="N19" s="508"/>
      <c r="O19" s="509"/>
      <c r="P19" s="506"/>
      <c r="Q19" s="506"/>
      <c r="R19" s="172"/>
      <c r="S19">
        <f t="shared" si="0"/>
        <v>8.9999999999999993E-3</v>
      </c>
      <c r="T19">
        <f t="shared" si="1"/>
        <v>0</v>
      </c>
    </row>
    <row r="20" spans="1:20" ht="21.75" customHeight="1">
      <c r="A20" s="508"/>
      <c r="B20" s="509"/>
      <c r="C20" s="281"/>
      <c r="D20" s="142" t="s">
        <v>259</v>
      </c>
      <c r="E20" s="404">
        <f>'Исходные данные'!B18</f>
        <v>0</v>
      </c>
      <c r="F20" s="404">
        <f>'Исходные данные'!C18</f>
        <v>0</v>
      </c>
      <c r="G20" s="404">
        <f>'Исходные данные'!D18</f>
        <v>0</v>
      </c>
      <c r="H20" s="404">
        <f>'Исходные данные'!F18</f>
        <v>0</v>
      </c>
      <c r="I20" s="404">
        <f>'Исходные данные'!G18</f>
        <v>0</v>
      </c>
      <c r="J20" s="404">
        <f>'Исходные данные'!H18</f>
        <v>0</v>
      </c>
      <c r="K20" s="407">
        <f>IF('Исходные данные'!M18=1,'Исходные данные'!G18-4,IF('Исходные данные'!M18=3,'Исходные данные'!G18-4,IF('Исходные данные'!M18=2,"---",IF('Исходные данные'!M18=4,"---",))))</f>
        <v>0</v>
      </c>
      <c r="L20" s="408">
        <f>'Труматик гермики'!S19</f>
        <v>0</v>
      </c>
      <c r="M20" s="93"/>
      <c r="N20" s="508"/>
      <c r="O20" s="509"/>
      <c r="P20" s="172"/>
      <c r="Q20" s="506"/>
      <c r="R20" s="172"/>
      <c r="S20">
        <f t="shared" si="0"/>
        <v>8.9999999999999993E-3</v>
      </c>
      <c r="T20">
        <f t="shared" si="1"/>
        <v>0</v>
      </c>
    </row>
    <row r="21" spans="1:20" ht="21.75" customHeight="1">
      <c r="A21" s="508"/>
      <c r="B21" s="509"/>
      <c r="C21" s="281"/>
      <c r="D21" s="142" t="s">
        <v>260</v>
      </c>
      <c r="E21" s="404">
        <f>'Исходные данные'!B19</f>
        <v>0</v>
      </c>
      <c r="F21" s="404">
        <f>'Исходные данные'!C19</f>
        <v>0</v>
      </c>
      <c r="G21" s="404">
        <f>'Исходные данные'!D19</f>
        <v>0</v>
      </c>
      <c r="H21" s="404">
        <f>'Исходные данные'!F19</f>
        <v>0</v>
      </c>
      <c r="I21" s="404">
        <f>'Исходные данные'!G19</f>
        <v>0</v>
      </c>
      <c r="J21" s="404">
        <f>'Исходные данные'!H19</f>
        <v>0</v>
      </c>
      <c r="K21" s="407">
        <f>IF('Исходные данные'!M19=1,'Исходные данные'!G19-4,IF('Исходные данные'!M19=3,'Исходные данные'!G19-4,IF('Исходные данные'!M19=2,"---",IF('Исходные данные'!M19=4,"---",))))</f>
        <v>0</v>
      </c>
      <c r="L21" s="408">
        <f>'Труматик гермики'!S20</f>
        <v>0</v>
      </c>
      <c r="M21" s="93"/>
      <c r="N21" s="508"/>
      <c r="O21" s="509"/>
      <c r="P21" s="172"/>
      <c r="Q21" s="506"/>
      <c r="R21" s="172"/>
      <c r="S21">
        <f t="shared" si="0"/>
        <v>8.9999999999999993E-3</v>
      </c>
      <c r="T21">
        <f t="shared" si="1"/>
        <v>0</v>
      </c>
    </row>
    <row r="22" spans="1:20" ht="21.75" customHeight="1">
      <c r="A22" s="508"/>
      <c r="B22" s="509"/>
      <c r="C22" s="281"/>
      <c r="D22" s="142" t="s">
        <v>261</v>
      </c>
      <c r="E22" s="404">
        <f>'Исходные данные'!B20</f>
        <v>0</v>
      </c>
      <c r="F22" s="404">
        <f>'Исходные данные'!C20</f>
        <v>0</v>
      </c>
      <c r="G22" s="404">
        <f>'Исходные данные'!D20</f>
        <v>0</v>
      </c>
      <c r="H22" s="404">
        <f>'Исходные данные'!F20</f>
        <v>0</v>
      </c>
      <c r="I22" s="404">
        <f>'Исходные данные'!G20</f>
        <v>0</v>
      </c>
      <c r="J22" s="404">
        <f>'Исходные данные'!H20</f>
        <v>0</v>
      </c>
      <c r="K22" s="407">
        <f>IF('Исходные данные'!M20=1,'Исходные данные'!G20-4,IF('Исходные данные'!M20=3,'Исходные данные'!G20-4,IF('Исходные данные'!M20=2,"---",IF('Исходные данные'!M20=4,"---",))))</f>
        <v>0</v>
      </c>
      <c r="L22" s="408">
        <f>'Труматик гермики'!S21</f>
        <v>0</v>
      </c>
      <c r="M22" s="93"/>
      <c r="N22" s="508"/>
      <c r="O22" s="509"/>
      <c r="P22" s="172"/>
      <c r="Q22" s="506"/>
      <c r="R22" s="172"/>
      <c r="S22">
        <f t="shared" si="0"/>
        <v>8.9999999999999993E-3</v>
      </c>
      <c r="T22">
        <f t="shared" si="1"/>
        <v>0</v>
      </c>
    </row>
    <row r="23" spans="1:20" ht="21.75" customHeight="1">
      <c r="C23" s="281"/>
      <c r="D23" s="142" t="s">
        <v>297</v>
      </c>
      <c r="E23" s="404">
        <f>'Исходные данные'!B21</f>
        <v>0</v>
      </c>
      <c r="F23" s="404">
        <f>'Исходные данные'!C21</f>
        <v>0</v>
      </c>
      <c r="G23" s="404">
        <f>'Исходные данные'!D21</f>
        <v>0</v>
      </c>
      <c r="H23" s="404">
        <f>'Исходные данные'!F21</f>
        <v>0</v>
      </c>
      <c r="I23" s="404">
        <f>'Исходные данные'!G21</f>
        <v>0</v>
      </c>
      <c r="J23" s="404">
        <f>'Исходные данные'!H21</f>
        <v>0</v>
      </c>
      <c r="K23" s="407">
        <f>IF('Исходные данные'!M21=1,'Исходные данные'!G21-4,IF('Исходные данные'!M21=3,'Исходные данные'!G21-4,IF('Исходные данные'!M21=2,"---",IF('Исходные данные'!M21=4,"---",))))</f>
        <v>0</v>
      </c>
      <c r="L23" s="408">
        <f>'Труматик гермики'!S22</f>
        <v>0</v>
      </c>
      <c r="M23" s="93"/>
      <c r="P23" s="172"/>
      <c r="Q23" s="506"/>
      <c r="R23" s="172"/>
      <c r="S23">
        <f t="shared" si="0"/>
        <v>8.9999999999999993E-3</v>
      </c>
      <c r="T23">
        <f t="shared" si="1"/>
        <v>0</v>
      </c>
    </row>
    <row r="24" spans="1:20" ht="21.75" customHeight="1">
      <c r="C24" s="34"/>
      <c r="D24" s="143" t="s">
        <v>298</v>
      </c>
      <c r="E24" s="404">
        <f>'Исходные данные'!B22</f>
        <v>0</v>
      </c>
      <c r="F24" s="404">
        <f>'Исходные данные'!C22</f>
        <v>0</v>
      </c>
      <c r="G24" s="404">
        <f>'Исходные данные'!D22</f>
        <v>0</v>
      </c>
      <c r="H24" s="404">
        <f>'Исходные данные'!F22</f>
        <v>0</v>
      </c>
      <c r="I24" s="404">
        <f>'Исходные данные'!G22</f>
        <v>0</v>
      </c>
      <c r="J24" s="404">
        <f>'Исходные данные'!H22</f>
        <v>0</v>
      </c>
      <c r="K24" s="407">
        <f>IF('Исходные данные'!M22=1,'Исходные данные'!G22-4,IF('Исходные данные'!M22=3,'Исходные данные'!G22-4,IF('Исходные данные'!M22=2,"---",IF('Исходные данные'!M22=4,"---",))))</f>
        <v>0</v>
      </c>
      <c r="L24" s="408">
        <f>'Труматик гермики'!S23</f>
        <v>0</v>
      </c>
      <c r="M24" s="93"/>
      <c r="P24" s="34"/>
      <c r="Q24" s="34"/>
      <c r="R24" s="34"/>
      <c r="S24">
        <f t="shared" si="0"/>
        <v>8.9999999999999993E-3</v>
      </c>
      <c r="T24">
        <f t="shared" si="1"/>
        <v>0</v>
      </c>
    </row>
    <row r="25" spans="1:20" ht="21.75" customHeight="1">
      <c r="D25" s="143" t="s">
        <v>299</v>
      </c>
      <c r="E25" s="404">
        <f>'Исходные данные'!B23</f>
        <v>0</v>
      </c>
      <c r="F25" s="404">
        <f>'Исходные данные'!C23</f>
        <v>0</v>
      </c>
      <c r="G25" s="404">
        <f>'Исходные данные'!D23</f>
        <v>0</v>
      </c>
      <c r="H25" s="404">
        <f>'Исходные данные'!F23</f>
        <v>0</v>
      </c>
      <c r="I25" s="404">
        <f>'Исходные данные'!G23</f>
        <v>0</v>
      </c>
      <c r="J25" s="404">
        <f>'Исходные данные'!H23</f>
        <v>0</v>
      </c>
      <c r="K25" s="407">
        <f>IF('Исходные данные'!M23=1,'Исходные данные'!G23-4,IF('Исходные данные'!M23=3,'Исходные данные'!G23-4,IF('Исходные данные'!M23=2,"---",IF('Исходные данные'!M23=4,"---",))))</f>
        <v>0</v>
      </c>
      <c r="L25" s="408">
        <f>'Труматик гермики'!S24</f>
        <v>0</v>
      </c>
      <c r="M25" s="93"/>
      <c r="S25">
        <f t="shared" si="0"/>
        <v>8.9999999999999993E-3</v>
      </c>
      <c r="T25">
        <f t="shared" si="1"/>
        <v>0</v>
      </c>
    </row>
    <row r="26" spans="1:20" ht="21.75" customHeight="1">
      <c r="D26" s="143" t="s">
        <v>300</v>
      </c>
      <c r="E26" s="404">
        <f>'Исходные данные'!B24</f>
        <v>0</v>
      </c>
      <c r="F26" s="404">
        <f>'Исходные данные'!C24</f>
        <v>0</v>
      </c>
      <c r="G26" s="404">
        <f>'Исходные данные'!D24</f>
        <v>0</v>
      </c>
      <c r="H26" s="404">
        <f>'Исходные данные'!F24</f>
        <v>0</v>
      </c>
      <c r="I26" s="404">
        <f>'Исходные данные'!G24</f>
        <v>0</v>
      </c>
      <c r="J26" s="404">
        <f>'Исходные данные'!H24</f>
        <v>0</v>
      </c>
      <c r="K26" s="407">
        <f>IF('Исходные данные'!M24=1,'Исходные данные'!G24-4,IF('Исходные данные'!M24=3,'Исходные данные'!G24-4,IF('Исходные данные'!M24=2,"---",IF('Исходные данные'!M24=4,"---",))))</f>
        <v>0</v>
      </c>
      <c r="L26" s="408">
        <f>'Труматик гермики'!S25</f>
        <v>0</v>
      </c>
      <c r="M26" s="93"/>
      <c r="S26">
        <f t="shared" si="0"/>
        <v>8.9999999999999993E-3</v>
      </c>
      <c r="T26">
        <f t="shared" si="1"/>
        <v>0</v>
      </c>
    </row>
    <row r="27" spans="1:20" ht="21.75" customHeight="1">
      <c r="D27" s="143" t="s">
        <v>301</v>
      </c>
      <c r="E27" s="404">
        <f>'Исходные данные'!B25</f>
        <v>0</v>
      </c>
      <c r="F27" s="404">
        <f>'Исходные данные'!C25</f>
        <v>0</v>
      </c>
      <c r="G27" s="404">
        <f>'Исходные данные'!D25</f>
        <v>0</v>
      </c>
      <c r="H27" s="404">
        <f>'Исходные данные'!F25</f>
        <v>0</v>
      </c>
      <c r="I27" s="404">
        <f>'Исходные данные'!G25</f>
        <v>0</v>
      </c>
      <c r="J27" s="404">
        <f>'Исходные данные'!H25</f>
        <v>0</v>
      </c>
      <c r="K27" s="407">
        <f>IF('Исходные данные'!M25=1,'Исходные данные'!G25-4,IF('Исходные данные'!M25=3,'Исходные данные'!G25-4,IF('Исходные данные'!M25=2,"---",IF('Исходные данные'!M25=4,"---",))))</f>
        <v>0</v>
      </c>
      <c r="L27" s="408">
        <f>'Труматик гермики'!S26</f>
        <v>0</v>
      </c>
      <c r="S27">
        <f t="shared" si="0"/>
        <v>8.9999999999999993E-3</v>
      </c>
      <c r="T27">
        <f t="shared" si="1"/>
        <v>0</v>
      </c>
    </row>
    <row r="28" spans="1:20" ht="21.75" customHeight="1" thickBot="1">
      <c r="D28" s="144" t="s">
        <v>302</v>
      </c>
      <c r="E28" s="409">
        <f>'Исходные данные'!B26</f>
        <v>0</v>
      </c>
      <c r="F28" s="409">
        <f>'Исходные данные'!C26</f>
        <v>0</v>
      </c>
      <c r="G28" s="409">
        <f>'Исходные данные'!D26</f>
        <v>0</v>
      </c>
      <c r="H28" s="409">
        <f>'Исходные данные'!F26</f>
        <v>0</v>
      </c>
      <c r="I28" s="409">
        <f>'Исходные данные'!G26</f>
        <v>0</v>
      </c>
      <c r="J28" s="409">
        <f>'Исходные данные'!H26</f>
        <v>0</v>
      </c>
      <c r="K28" s="410">
        <f>IF('Исходные данные'!M26=1,'Исходные данные'!G26-4,IF('Исходные данные'!M26=3,'Исходные данные'!G26-4,IF('Исходные данные'!M26=2,"---",IF('Исходные данные'!M26=4,"---",))))</f>
        <v>0</v>
      </c>
      <c r="L28" s="411">
        <f>'Труматик гермики'!S27</f>
        <v>0</v>
      </c>
      <c r="S28">
        <f t="shared" si="0"/>
        <v>8.9999999999999993E-3</v>
      </c>
      <c r="T28">
        <f t="shared" si="1"/>
        <v>0</v>
      </c>
    </row>
    <row r="29" spans="1:20" ht="21.75" customHeight="1">
      <c r="D29" s="152"/>
      <c r="E29" s="170"/>
      <c r="F29" s="170"/>
      <c r="G29" s="170"/>
      <c r="H29" s="170"/>
      <c r="I29" s="170"/>
      <c r="J29" s="164"/>
      <c r="K29" s="220"/>
      <c r="L29" s="220"/>
    </row>
    <row r="30" spans="1:20" ht="21.75" customHeight="1">
      <c r="D30" s="152"/>
      <c r="E30" s="170"/>
      <c r="F30" s="170"/>
      <c r="G30" s="170"/>
      <c r="H30" s="170"/>
      <c r="I30" s="170"/>
      <c r="J30" s="170"/>
      <c r="K30" s="153"/>
      <c r="L30" s="153"/>
    </row>
    <row r="31" spans="1:20" ht="21.75" customHeight="1">
      <c r="D31" s="152"/>
      <c r="E31" s="170"/>
      <c r="F31" s="170"/>
      <c r="G31" s="170"/>
      <c r="H31" s="170"/>
      <c r="I31" s="170"/>
      <c r="J31" s="170"/>
      <c r="K31" s="153"/>
      <c r="L31" s="153"/>
    </row>
    <row r="32" spans="1:20">
      <c r="D32" s="18"/>
      <c r="E32" s="18"/>
      <c r="F32" s="18"/>
      <c r="G32" s="18"/>
      <c r="H32" s="18"/>
      <c r="I32" s="18"/>
      <c r="J32" s="18"/>
      <c r="K32" s="170"/>
      <c r="L32" s="170"/>
    </row>
    <row r="33" spans="3:23">
      <c r="D33" s="18"/>
      <c r="E33" s="18"/>
      <c r="F33" s="18"/>
      <c r="G33" s="18"/>
      <c r="H33" s="18"/>
      <c r="I33" s="18"/>
      <c r="J33" s="18"/>
      <c r="K33" s="170"/>
      <c r="L33" s="170"/>
    </row>
    <row r="34" spans="3:23" ht="31.5">
      <c r="C34" s="18"/>
      <c r="D34" s="18"/>
      <c r="E34" s="18" t="s">
        <v>311</v>
      </c>
      <c r="F34" s="50"/>
      <c r="G34" s="50"/>
      <c r="H34" s="412">
        <f>T8+T9+T10+T11+T12+T13+T14+T15+T16+T17+T18+T19+T20+T21+T22+T23+T24+T25+T26+T27+T28</f>
        <v>0</v>
      </c>
      <c r="I34" s="50"/>
      <c r="J34" s="50"/>
      <c r="K34" s="465"/>
      <c r="L34" s="465"/>
    </row>
    <row r="35" spans="3:23">
      <c r="C35" s="18"/>
      <c r="D35" s="18"/>
      <c r="E35" s="18"/>
      <c r="F35" s="18"/>
      <c r="G35" s="18"/>
      <c r="I35" s="18"/>
      <c r="J35" s="18"/>
      <c r="K35" s="18"/>
      <c r="L35" s="18"/>
    </row>
    <row r="36" spans="3:23" ht="22.5">
      <c r="E36" s="271"/>
      <c r="F36" s="271"/>
      <c r="G36" s="271"/>
      <c r="H36" s="271"/>
      <c r="I36" s="271"/>
      <c r="J36" s="271"/>
      <c r="K36" s="271"/>
      <c r="L36" s="271"/>
      <c r="M36" s="271"/>
      <c r="O36" s="258"/>
      <c r="Q36" s="258"/>
      <c r="W36" s="18"/>
    </row>
    <row r="37" spans="3:23" ht="22.5">
      <c r="E37" s="271"/>
      <c r="F37" s="271" t="s">
        <v>324</v>
      </c>
      <c r="G37" s="114"/>
      <c r="H37" s="114"/>
      <c r="I37" s="114"/>
      <c r="J37" s="114"/>
      <c r="K37" s="114"/>
      <c r="L37" s="114"/>
      <c r="M37" s="114"/>
      <c r="N37" s="268"/>
      <c r="O37" s="268"/>
      <c r="P37" s="268"/>
      <c r="Q37" s="268"/>
      <c r="R37" s="268"/>
      <c r="S37" s="268"/>
      <c r="T37" s="268"/>
      <c r="U37" s="18"/>
      <c r="V37" s="18"/>
    </row>
    <row r="38" spans="3:23" ht="22.5">
      <c r="C38" s="18"/>
      <c r="D38" s="18"/>
      <c r="E38" s="271"/>
      <c r="F38" s="271"/>
      <c r="G38" s="114"/>
      <c r="H38" s="114"/>
      <c r="I38" s="114"/>
      <c r="J38" s="114"/>
      <c r="K38" s="114"/>
      <c r="L38" s="114"/>
      <c r="M38" s="114"/>
      <c r="N38" s="268"/>
      <c r="O38" s="268"/>
      <c r="P38" s="268"/>
      <c r="Q38" s="268"/>
      <c r="R38" s="268"/>
      <c r="S38" s="268"/>
      <c r="T38" s="268"/>
      <c r="U38" s="18"/>
      <c r="V38" s="18"/>
    </row>
    <row r="39" spans="3:23" ht="22.5">
      <c r="C39" s="18"/>
      <c r="D39" s="18"/>
      <c r="E39" s="271"/>
      <c r="F39" s="271" t="s">
        <v>330</v>
      </c>
      <c r="G39" s="271"/>
      <c r="H39" s="271" t="s">
        <v>327</v>
      </c>
      <c r="I39" s="271"/>
      <c r="J39" s="271"/>
      <c r="K39" s="271"/>
      <c r="L39" s="271"/>
      <c r="M39" s="271"/>
      <c r="O39" s="117"/>
      <c r="P39" s="117"/>
      <c r="Q39" s="117"/>
      <c r="R39" s="117"/>
      <c r="S39" s="117"/>
      <c r="T39" s="117"/>
    </row>
    <row r="40" spans="3:23" ht="22.5">
      <c r="C40" s="18"/>
      <c r="D40" s="18"/>
      <c r="E40" s="271"/>
      <c r="F40" s="271"/>
      <c r="G40" s="271"/>
      <c r="H40" s="271"/>
      <c r="I40" s="266" t="s">
        <v>325</v>
      </c>
      <c r="J40" s="271"/>
      <c r="K40" s="271"/>
      <c r="L40" s="271"/>
      <c r="M40" s="271"/>
      <c r="N40" s="117"/>
      <c r="O40" s="117"/>
      <c r="P40" s="117"/>
      <c r="Q40" s="268"/>
      <c r="R40" s="117"/>
      <c r="S40" s="117"/>
      <c r="T40" s="117"/>
    </row>
    <row r="41" spans="3:23" ht="21">
      <c r="C41" s="18"/>
      <c r="D41" s="18"/>
      <c r="F41" s="117"/>
      <c r="G41" s="268"/>
      <c r="H41" s="268"/>
      <c r="I41" s="268"/>
      <c r="J41" s="268"/>
      <c r="K41" s="117"/>
      <c r="L41" s="117"/>
      <c r="M41" s="117"/>
      <c r="N41" s="117"/>
      <c r="O41" s="117"/>
      <c r="P41" s="117"/>
      <c r="Q41" s="117"/>
      <c r="R41" s="117"/>
      <c r="S41" s="117"/>
      <c r="T41" s="117"/>
    </row>
    <row r="42" spans="3:23" ht="21"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270"/>
      <c r="S42" s="270"/>
      <c r="T42" s="270"/>
      <c r="U42" s="258"/>
      <c r="V42" s="258"/>
    </row>
    <row r="43" spans="3:23" ht="21"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268"/>
      <c r="S43" s="268"/>
      <c r="T43" s="268"/>
      <c r="U43" s="18"/>
      <c r="V43" s="18"/>
    </row>
  </sheetData>
  <mergeCells count="21">
    <mergeCell ref="Q11:Q13"/>
    <mergeCell ref="Q15:Q23"/>
    <mergeCell ref="N17:N22"/>
    <mergeCell ref="N2:O8"/>
    <mergeCell ref="L4:L7"/>
    <mergeCell ref="A17:A22"/>
    <mergeCell ref="A2:B9"/>
    <mergeCell ref="K34:L34"/>
    <mergeCell ref="O10:O22"/>
    <mergeCell ref="P10:P19"/>
    <mergeCell ref="B10:B22"/>
    <mergeCell ref="C10:C19"/>
    <mergeCell ref="D2:L2"/>
    <mergeCell ref="K4:K6"/>
    <mergeCell ref="D4:D7"/>
    <mergeCell ref="E4:E7"/>
    <mergeCell ref="F4:F7"/>
    <mergeCell ref="G4:G7"/>
    <mergeCell ref="H4:H7"/>
    <mergeCell ref="I4:I7"/>
    <mergeCell ref="J4:J7"/>
  </mergeCells>
  <pageMargins left="0.19685039370078741" right="0.19685039370078741" top="0.19685039370078741" bottom="0.19685039370078741" header="0.31496062992125984" footer="0.31496062992125984"/>
  <pageSetup paperSize="9" scale="5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50"/>
  <sheetViews>
    <sheetView topLeftCell="A4" zoomScale="75" zoomScaleNormal="75" workbookViewId="0">
      <selection activeCell="AA31" sqref="AA31"/>
    </sheetView>
  </sheetViews>
  <sheetFormatPr defaultRowHeight="15"/>
  <cols>
    <col min="1" max="1" width="7" customWidth="1"/>
    <col min="2" max="2" width="8.140625" customWidth="1"/>
    <col min="6" max="6" width="9.85546875" customWidth="1"/>
    <col min="8" max="8" width="3.85546875" customWidth="1"/>
    <col min="9" max="9" width="8.140625" hidden="1" customWidth="1"/>
    <col min="10" max="10" width="8.7109375" customWidth="1"/>
    <col min="11" max="11" width="7.140625" hidden="1" customWidth="1"/>
    <col min="12" max="12" width="11.5703125" hidden="1" customWidth="1"/>
    <col min="13" max="13" width="9.42578125" hidden="1" customWidth="1"/>
    <col min="14" max="14" width="7.140625" hidden="1" customWidth="1"/>
    <col min="15" max="15" width="10.85546875" customWidth="1"/>
    <col min="16" max="17" width="9.7109375" customWidth="1"/>
    <col min="18" max="18" width="6.85546875" customWidth="1"/>
    <col min="19" max="20" width="9.28515625" customWidth="1"/>
    <col min="21" max="21" width="10.28515625" customWidth="1"/>
    <col min="22" max="22" width="11" customWidth="1"/>
    <col min="23" max="23" width="15.28515625" customWidth="1"/>
    <col min="24" max="24" width="10.28515625" customWidth="1"/>
    <col min="25" max="25" width="11.140625" customWidth="1"/>
    <col min="26" max="26" width="9.5703125" customWidth="1"/>
    <col min="27" max="27" width="7.85546875" customWidth="1"/>
    <col min="28" max="28" width="11.28515625" customWidth="1"/>
    <col min="30" max="34" width="0" hidden="1" customWidth="1"/>
  </cols>
  <sheetData>
    <row r="1" spans="2:33" hidden="1">
      <c r="E1" t="s">
        <v>237</v>
      </c>
    </row>
    <row r="2" spans="2:33" ht="26.25" hidden="1" customHeight="1">
      <c r="E2" s="117" t="s">
        <v>242</v>
      </c>
      <c r="F2" s="121"/>
      <c r="G2" s="120"/>
      <c r="H2" s="120"/>
      <c r="I2" s="74"/>
      <c r="N2" s="97"/>
      <c r="V2" s="74"/>
      <c r="W2" s="74"/>
      <c r="X2" s="74"/>
    </row>
    <row r="3" spans="2:33" ht="26.25" hidden="1">
      <c r="F3" s="88"/>
      <c r="G3" s="88"/>
      <c r="H3" s="88"/>
      <c r="I3" s="74"/>
    </row>
    <row r="4" spans="2:33" ht="33.75" thickBot="1">
      <c r="F4" s="602" t="s">
        <v>308</v>
      </c>
      <c r="G4" s="603"/>
      <c r="H4" s="603"/>
      <c r="I4" s="603"/>
      <c r="J4" s="603"/>
      <c r="K4" s="603"/>
      <c r="L4" s="603"/>
      <c r="M4" s="603"/>
      <c r="N4" s="603"/>
      <c r="O4" s="603"/>
      <c r="P4" s="603"/>
      <c r="Q4" s="603"/>
      <c r="R4" s="603"/>
      <c r="S4" s="603"/>
      <c r="T4" s="603"/>
      <c r="U4" s="603"/>
      <c r="V4" s="603"/>
      <c r="W4" s="603"/>
      <c r="X4" s="603"/>
      <c r="Y4" s="603"/>
      <c r="Z4" s="603"/>
      <c r="AA4" s="603"/>
      <c r="AB4" s="603"/>
      <c r="AC4" s="603"/>
      <c r="AD4" s="603"/>
      <c r="AF4" s="618" t="s">
        <v>243</v>
      </c>
      <c r="AG4" s="119"/>
    </row>
    <row r="5" spans="2:33" ht="50.25" customHeight="1" thickBot="1">
      <c r="B5" s="615">
        <f>'Исходные данные'!F4</f>
        <v>0</v>
      </c>
      <c r="C5" s="615"/>
      <c r="D5" s="192"/>
      <c r="E5" s="184" t="s">
        <v>227</v>
      </c>
      <c r="F5" s="80" t="s">
        <v>4</v>
      </c>
      <c r="G5" s="81" t="s">
        <v>0</v>
      </c>
      <c r="H5" s="185" t="s">
        <v>228</v>
      </c>
      <c r="I5" s="604" t="s">
        <v>319</v>
      </c>
      <c r="J5" s="604"/>
      <c r="K5" s="186"/>
      <c r="L5" s="186" t="s">
        <v>313</v>
      </c>
      <c r="M5" s="186" t="s">
        <v>38</v>
      </c>
      <c r="N5" s="604" t="s">
        <v>320</v>
      </c>
      <c r="O5" s="604"/>
      <c r="P5" s="186" t="s">
        <v>313</v>
      </c>
      <c r="Q5" s="186" t="s">
        <v>38</v>
      </c>
      <c r="R5" s="193" t="s">
        <v>229</v>
      </c>
      <c r="S5" s="186" t="s">
        <v>270</v>
      </c>
      <c r="T5" s="186" t="s">
        <v>38</v>
      </c>
      <c r="U5" s="611" t="s">
        <v>268</v>
      </c>
      <c r="V5" s="611" t="s">
        <v>269</v>
      </c>
      <c r="W5" s="187" t="s">
        <v>230</v>
      </c>
      <c r="X5" s="188" t="s">
        <v>38</v>
      </c>
      <c r="Y5" s="605" t="s">
        <v>232</v>
      </c>
      <c r="Z5" s="606"/>
      <c r="AA5" s="607"/>
      <c r="AB5" s="189" t="s">
        <v>38</v>
      </c>
      <c r="AC5" s="609" t="s">
        <v>328</v>
      </c>
      <c r="AD5" s="610"/>
      <c r="AE5" s="115">
        <f>'Исходные данные'!F4</f>
        <v>0</v>
      </c>
      <c r="AF5" s="618"/>
      <c r="AG5" s="119"/>
    </row>
    <row r="6" spans="2:33" ht="14.25" customHeight="1" thickBot="1">
      <c r="B6" s="615"/>
      <c r="C6" s="615"/>
      <c r="D6" s="192"/>
      <c r="E6" s="190"/>
      <c r="F6" s="82"/>
      <c r="G6" s="83"/>
      <c r="H6" s="191"/>
      <c r="I6" s="94"/>
      <c r="J6" s="94" t="s">
        <v>231</v>
      </c>
      <c r="K6" s="94"/>
      <c r="L6" s="94"/>
      <c r="M6" s="94"/>
      <c r="N6" s="94"/>
      <c r="O6" s="94" t="s">
        <v>32</v>
      </c>
      <c r="P6" s="94"/>
      <c r="Q6" s="94"/>
      <c r="R6" s="194"/>
      <c r="S6" s="94" t="s">
        <v>7</v>
      </c>
      <c r="T6" s="169"/>
      <c r="U6" s="612"/>
      <c r="V6" s="612"/>
      <c r="W6" s="195"/>
      <c r="X6" s="195"/>
      <c r="Y6" s="134" t="s">
        <v>7</v>
      </c>
      <c r="Z6" s="274" t="s">
        <v>12</v>
      </c>
      <c r="AA6" s="196" t="s">
        <v>5</v>
      </c>
      <c r="AB6" s="197"/>
      <c r="AC6" s="139" t="s">
        <v>7</v>
      </c>
      <c r="AD6" s="198" t="s">
        <v>38</v>
      </c>
      <c r="AE6" s="619" t="s">
        <v>280</v>
      </c>
      <c r="AF6" s="618"/>
      <c r="AG6" s="122"/>
    </row>
    <row r="7" spans="2:33" ht="51" customHeight="1">
      <c r="B7" s="615"/>
      <c r="C7" s="615"/>
      <c r="E7" s="125">
        <v>1</v>
      </c>
      <c r="F7" s="79">
        <f>'Исходные данные'!B6</f>
        <v>0</v>
      </c>
      <c r="G7" s="79">
        <f>'Исходные данные'!C6</f>
        <v>0</v>
      </c>
      <c r="H7" s="79">
        <f>'Исходные данные'!D6</f>
        <v>0</v>
      </c>
      <c r="I7" s="75">
        <f>IF('Исходные данные'!O6="---",IF('Исходные данные'!P6="---",IF('Исходные данные'!Q6="---",0,"ВГ050.00.00.001"),"ВМ0114.01.00.001"),"ВМ0113.01.00.001")</f>
        <v>0</v>
      </c>
      <c r="J7" s="389" t="str">
        <f>'Труматик гермики'!D7</f>
        <v>---</v>
      </c>
      <c r="K7" s="389"/>
      <c r="L7" s="389" t="str">
        <f>'Труматик гермики'!E7</f>
        <v>--</v>
      </c>
      <c r="M7" s="389">
        <f>'Исходные данные'!K6</f>
        <v>0</v>
      </c>
      <c r="N7" s="390">
        <f>IF('Исходные данные'!O6="---",IF('Исходные данные'!P6="---",IF('Исходные данные'!Q6="---",0,"ВГ050.00.00.002"),"ВМ0114.01.00.002"),"ВМ 0113.01.00.002")</f>
        <v>0</v>
      </c>
      <c r="O7" s="389">
        <f>'Исходные данные'!G6</f>
        <v>0</v>
      </c>
      <c r="P7" s="391" t="str">
        <f>'Труматик гермики'!E8</f>
        <v>--</v>
      </c>
      <c r="Q7" s="389" t="str">
        <f>'Труматик гермики'!J7</f>
        <v>---</v>
      </c>
      <c r="R7" s="389">
        <f>'Исходные данные'!H6</f>
        <v>0</v>
      </c>
      <c r="S7" s="392" t="str">
        <f>IF(G7="Регуляр",'Исходные данные'!G6-4,"---")</f>
        <v>---</v>
      </c>
      <c r="T7" s="392" t="str">
        <f>IF(S7="---","---",'Исходные данные'!K6)</f>
        <v>---</v>
      </c>
      <c r="U7" s="389" t="str">
        <f>IF(S7="---","---",'Труматик гермики'!Q7)</f>
        <v>---</v>
      </c>
      <c r="V7" s="389" t="str">
        <f>IF(S7="---","---",U7*'Исходные данные'!H6)</f>
        <v>---</v>
      </c>
      <c r="W7" s="199" t="str">
        <f>IF('Исходные данные'!M6=1,"Комплект кожухов","---")</f>
        <v>---</v>
      </c>
      <c r="X7" s="393" t="str">
        <f>'Труматик гермики'!J7</f>
        <v>---</v>
      </c>
      <c r="Y7" s="393" t="str">
        <f>IF('Исходные данные'!L6=1,'Ножницы упор'!G7,IF('Исходные данные'!L6=2,'Ножницы упор'!G7,IF('Исходные данные'!L6=3,0,IF('Исходные данные'!L6=4,'Ножницы упор'!G7,"---"))))</f>
        <v>---</v>
      </c>
      <c r="Z7" s="393" t="str">
        <f>IF('Исходные данные'!L6=1,'Ножницы упор'!F7,IF('Исходные данные'!L6=2,'Ножницы упор'!F7,IF('Исходные данные'!L6=3,0,IF('Исходные данные'!L6=4,'Ножницы упор'!F7,"---"))))</f>
        <v>---</v>
      </c>
      <c r="AA7" s="393">
        <f>IF('Исходные данные'!M6=1,'Исходные данные'!H6*2,IF('Исходные данные'!M6=2,'Исходные данные'!H6*2,IF('Исходные данные'!M6=3,'Исходные данные'!H6*2,IF('Исходные данные'!M6=4,'Исходные данные'!H6*2,))))</f>
        <v>0</v>
      </c>
      <c r="AB7" s="393">
        <f>IF('Исходные данные'!L6=1,"ОЦ",IF('Исходные данные'!L6=2,"Нерж",IF('Исходные данные'!L6=3,"ОЦ",IF('Исходные данные'!L6=4,"краш",0))))</f>
        <v>0</v>
      </c>
      <c r="AC7" s="394">
        <v>0</v>
      </c>
      <c r="AD7" s="201">
        <v>0</v>
      </c>
      <c r="AE7" s="619"/>
      <c r="AF7" s="618"/>
      <c r="AG7" s="122"/>
    </row>
    <row r="8" spans="2:33" ht="52.5" customHeight="1">
      <c r="B8" s="615"/>
      <c r="C8" s="615"/>
      <c r="E8" s="125">
        <f>E7+1</f>
        <v>2</v>
      </c>
      <c r="F8" s="1">
        <f>'Исходные данные'!B7</f>
        <v>0</v>
      </c>
      <c r="G8" s="1">
        <f>'Исходные данные'!C7</f>
        <v>0</v>
      </c>
      <c r="H8" s="1">
        <f>'Исходные данные'!D7</f>
        <v>0</v>
      </c>
      <c r="I8" s="77">
        <f>IF('Исходные данные'!O7="---",IF('Исходные данные'!P7="---",IF('Исходные данные'!Q7="---",0,"ВГ050.00.00.001"),"ВМ0114.01.00.001"),"ВМ0113.01.00.001")</f>
        <v>0</v>
      </c>
      <c r="J8" s="389" t="str">
        <f>'Труматик гермики'!D8</f>
        <v>---</v>
      </c>
      <c r="K8" s="389"/>
      <c r="L8" s="389" t="str">
        <f>'Труматик гермики'!E8</f>
        <v>--</v>
      </c>
      <c r="M8" s="389">
        <f>'Исходные данные'!K7</f>
        <v>0</v>
      </c>
      <c r="N8" s="390">
        <f>IF('Исходные данные'!O7="---",IF('Исходные данные'!P7="---",IF('Исходные данные'!Q7="---",0,"ВГ050.00.00.002"),"ВМ0114.01.00.002"),"ВМ 0113.01.00.002")</f>
        <v>0</v>
      </c>
      <c r="O8" s="389">
        <f>'Исходные данные'!G7</f>
        <v>0</v>
      </c>
      <c r="P8" s="391" t="str">
        <f>'Труматик гермики'!E9</f>
        <v>--</v>
      </c>
      <c r="Q8" s="389" t="str">
        <f>'Труматик гермики'!J8</f>
        <v>---</v>
      </c>
      <c r="R8" s="389">
        <f>'Исходные данные'!H7</f>
        <v>0</v>
      </c>
      <c r="S8" s="392" t="str">
        <f>IF(G8="Регуляр",'Исходные данные'!G7-4,"---")</f>
        <v>---</v>
      </c>
      <c r="T8" s="392" t="str">
        <f>IF(S8="---","---",'Исходные данные'!K7)</f>
        <v>---</v>
      </c>
      <c r="U8" s="389" t="str">
        <f>IF(S8="---","---",'Труматик гермики'!Q8)</f>
        <v>---</v>
      </c>
      <c r="V8" s="389" t="str">
        <f>IF(S8="---","---",U8*'Исходные данные'!H7)</f>
        <v>---</v>
      </c>
      <c r="W8" s="199" t="str">
        <f>IF('Исходные данные'!M7=1,"Комплект кожухов","---")</f>
        <v>---</v>
      </c>
      <c r="X8" s="393" t="str">
        <f>'Труматик гермики'!J8</f>
        <v>---</v>
      </c>
      <c r="Y8" s="393" t="str">
        <f>IF('Исходные данные'!L7=1,'Ножницы упор'!G8,IF('Исходные данные'!L7=2,'Ножницы упор'!G8,IF('Исходные данные'!L7=3,0,IF('Исходные данные'!L7=4,'Ножницы упор'!G8,"---"))))</f>
        <v>---</v>
      </c>
      <c r="Z8" s="393" t="str">
        <f>IF('Исходные данные'!L7=1,'Ножницы упор'!F8,IF('Исходные данные'!L7=2,'Ножницы упор'!F8,IF('Исходные данные'!L7=3,0,IF('Исходные данные'!L7=4,'Ножницы упор'!F8,"---"))))</f>
        <v>---</v>
      </c>
      <c r="AA8" s="393">
        <f>IF('Исходные данные'!M7=1,'Исходные данные'!H7*2,IF('Исходные данные'!M7=2,'Исходные данные'!H7*2,IF('Исходные данные'!M7=3,'Исходные данные'!H7*2,IF('Исходные данные'!M7=4,'Исходные данные'!H7*2,))))</f>
        <v>0</v>
      </c>
      <c r="AB8" s="393">
        <f>IF('Исходные данные'!L7=1,"ОЦ",IF('Исходные данные'!L7=2,"Нерж",IF('Исходные данные'!L7=3,"ОЦ",IF('Исходные данные'!L7=4,"краш",0))))</f>
        <v>0</v>
      </c>
      <c r="AC8" s="394">
        <v>1</v>
      </c>
      <c r="AD8" s="201">
        <v>0</v>
      </c>
      <c r="AE8" s="619"/>
      <c r="AF8" s="119"/>
      <c r="AG8" s="122"/>
    </row>
    <row r="9" spans="2:33" ht="42" customHeight="1">
      <c r="B9" s="614" t="s">
        <v>287</v>
      </c>
      <c r="E9" s="125">
        <f t="shared" ref="E9:E24" si="0">E8+1</f>
        <v>3</v>
      </c>
      <c r="F9" s="1">
        <f>'Исходные данные'!B8</f>
        <v>0</v>
      </c>
      <c r="G9" s="1">
        <f>'Исходные данные'!C8</f>
        <v>0</v>
      </c>
      <c r="H9" s="1">
        <f>'Исходные данные'!D8</f>
        <v>0</v>
      </c>
      <c r="I9" s="77">
        <f>IF('Исходные данные'!O8="---",IF('Исходные данные'!P8="---",IF('Исходные данные'!Q8="---",0,"ВГ050.00.00.001"),"ВМ0114.01.00.001"),"ВМ0113.01.00.001")</f>
        <v>0</v>
      </c>
      <c r="J9" s="389" t="str">
        <f>'Труматик гермики'!D9</f>
        <v>---</v>
      </c>
      <c r="K9" s="389"/>
      <c r="L9" s="389" t="str">
        <f>'Труматик гермики'!E9</f>
        <v>--</v>
      </c>
      <c r="M9" s="389">
        <f>'Исходные данные'!K8</f>
        <v>0</v>
      </c>
      <c r="N9" s="390">
        <f>IF('Исходные данные'!O8="---",IF('Исходные данные'!P8="---",IF('Исходные данные'!Q8="---",0,"ВГ050.00.00.002"),"ВМ0114.01.00.002"),"ВМ 0113.01.00.002")</f>
        <v>0</v>
      </c>
      <c r="O9" s="389">
        <f>'Исходные данные'!G8</f>
        <v>0</v>
      </c>
      <c r="P9" s="391" t="str">
        <f>'Труматик гермики'!E10</f>
        <v>--</v>
      </c>
      <c r="Q9" s="389" t="str">
        <f>'Труматик гермики'!J9</f>
        <v>---</v>
      </c>
      <c r="R9" s="389">
        <f>'Исходные данные'!H8</f>
        <v>0</v>
      </c>
      <c r="S9" s="392" t="str">
        <f>IF(G9="Регуляр",'Исходные данные'!G8-4,"---")</f>
        <v>---</v>
      </c>
      <c r="T9" s="392" t="str">
        <f>IF(S9="---","---",'Исходные данные'!K8)</f>
        <v>---</v>
      </c>
      <c r="U9" s="389" t="str">
        <f>IF(S9="---","---",'Труматик гермики'!Q9)</f>
        <v>---</v>
      </c>
      <c r="V9" s="389" t="str">
        <f>IF(S9="---","---",U9*'Исходные данные'!H8)</f>
        <v>---</v>
      </c>
      <c r="W9" s="199" t="str">
        <f>IF('Исходные данные'!M8=1,"Комплект кожухов","---")</f>
        <v>---</v>
      </c>
      <c r="X9" s="393" t="str">
        <f>'Труматик гермики'!J9</f>
        <v>---</v>
      </c>
      <c r="Y9" s="393" t="str">
        <f>IF('Исходные данные'!L8=1,'Ножницы упор'!G9,IF('Исходные данные'!L8=2,'Ножницы упор'!G9,IF('Исходные данные'!L8=3,0,IF('Исходные данные'!L8=4,'Ножницы упор'!G9,"---"))))</f>
        <v>---</v>
      </c>
      <c r="Z9" s="393" t="str">
        <f>IF('Исходные данные'!L8=1,'Ножницы упор'!F9,IF('Исходные данные'!L8=2,'Ножницы упор'!F9,IF('Исходные данные'!L8=3,0,IF('Исходные данные'!L8=4,'Ножницы упор'!F9,"---"))))</f>
        <v>---</v>
      </c>
      <c r="AA9" s="393">
        <f>IF('Исходные данные'!M8=1,'Исходные данные'!H8*2,IF('Исходные данные'!M8=2,'Исходные данные'!H8*2,IF('Исходные данные'!M8=3,'Исходные данные'!H8*2,IF('Исходные данные'!M8=4,'Исходные данные'!H8*2,))))</f>
        <v>0</v>
      </c>
      <c r="AB9" s="393">
        <f>IF('Исходные данные'!L8=1,"ОЦ",IF('Исходные данные'!L8=2,"Нерж",IF('Исходные данные'!L8=3,"ОЦ",IF('Исходные данные'!L8=4,"краш",0))))</f>
        <v>0</v>
      </c>
      <c r="AC9" s="394">
        <v>2</v>
      </c>
      <c r="AD9" s="201">
        <v>0</v>
      </c>
      <c r="AE9" s="619"/>
      <c r="AF9" s="119"/>
      <c r="AG9" s="122"/>
    </row>
    <row r="10" spans="2:33" ht="30.75" customHeight="1">
      <c r="B10" s="614"/>
      <c r="E10" s="125">
        <f t="shared" si="0"/>
        <v>4</v>
      </c>
      <c r="F10" s="1">
        <f>'Исходные данные'!B9</f>
        <v>0</v>
      </c>
      <c r="G10" s="1">
        <f>'Исходные данные'!C9</f>
        <v>0</v>
      </c>
      <c r="H10" s="1">
        <f>'Исходные данные'!D9</f>
        <v>0</v>
      </c>
      <c r="I10" s="77">
        <f>IF('Исходные данные'!O9="---",IF('Исходные данные'!P9="---",IF('Исходные данные'!Q9="---",0,"ВГ050.00.00.001"),"ВМ0114.01.00.001"),"ВМ0113.01.00.001")</f>
        <v>0</v>
      </c>
      <c r="J10" s="389" t="str">
        <f>'Труматик гермики'!D10</f>
        <v>---</v>
      </c>
      <c r="K10" s="389"/>
      <c r="L10" s="389" t="str">
        <f>'Труматик гермики'!E10</f>
        <v>--</v>
      </c>
      <c r="M10" s="389">
        <f>'Исходные данные'!K9</f>
        <v>0</v>
      </c>
      <c r="N10" s="390">
        <f>IF('Исходные данные'!O9="---",IF('Исходные данные'!P9="---",IF('Исходные данные'!Q9="---",0,"ВГ050.00.00.002"),"ВМ0114.01.00.002"),"ВМ 0113.01.00.002")</f>
        <v>0</v>
      </c>
      <c r="O10" s="389">
        <f>'Исходные данные'!G9</f>
        <v>0</v>
      </c>
      <c r="P10" s="391" t="str">
        <f>'Труматик гермики'!E11</f>
        <v>--</v>
      </c>
      <c r="Q10" s="389" t="str">
        <f>'Труматик гермики'!J10</f>
        <v>---</v>
      </c>
      <c r="R10" s="389">
        <f>'Исходные данные'!H9</f>
        <v>0</v>
      </c>
      <c r="S10" s="392" t="str">
        <f>IF(G10="Регуляр",'Исходные данные'!G9-4,"---")</f>
        <v>---</v>
      </c>
      <c r="T10" s="392" t="str">
        <f>IF(S10="---","---",'Исходные данные'!K9)</f>
        <v>---</v>
      </c>
      <c r="U10" s="389" t="str">
        <f>IF(S10="---","---",'Труматик гермики'!Q10)</f>
        <v>---</v>
      </c>
      <c r="V10" s="389" t="str">
        <f>IF(S10="---","---",U10*'Исходные данные'!H9)</f>
        <v>---</v>
      </c>
      <c r="W10" s="199" t="str">
        <f>IF('Исходные данные'!M9=1,"Комплект кожухов","---")</f>
        <v>---</v>
      </c>
      <c r="X10" s="393" t="str">
        <f>'Труматик гермики'!J10</f>
        <v>---</v>
      </c>
      <c r="Y10" s="393" t="str">
        <f>IF('Исходные данные'!L9=1,'Ножницы упор'!G10,IF('Исходные данные'!L9=2,'Ножницы упор'!G10,IF('Исходные данные'!L9=3,0,IF('Исходные данные'!L9=4,'Ножницы упор'!G10,"---"))))</f>
        <v>---</v>
      </c>
      <c r="Z10" s="393" t="str">
        <f>IF('Исходные данные'!L9=1,'Ножницы упор'!F10,IF('Исходные данные'!L9=2,'Ножницы упор'!F10,IF('Исходные данные'!L9=3,0,IF('Исходные данные'!L9=4,'Ножницы упор'!F10,"---"))))</f>
        <v>---</v>
      </c>
      <c r="AA10" s="393">
        <f>IF('Исходные данные'!M9=1,'Исходные данные'!H9*2,IF('Исходные данные'!M9=2,'Исходные данные'!H9*2,IF('Исходные данные'!M9=3,'Исходные данные'!H9*2,IF('Исходные данные'!M9=4,'Исходные данные'!H9*2,))))</f>
        <v>0</v>
      </c>
      <c r="AB10" s="393">
        <f>IF('Исходные данные'!L9=1,"ОЦ",IF('Исходные данные'!L9=2,"Нерж",IF('Исходные данные'!L9=3,"ОЦ",IF('Исходные данные'!L9=4,"краш",0))))</f>
        <v>0</v>
      </c>
      <c r="AC10" s="394">
        <v>3</v>
      </c>
      <c r="AD10" s="201">
        <v>0</v>
      </c>
      <c r="AE10" s="619"/>
      <c r="AF10" s="618" t="s">
        <v>240</v>
      </c>
      <c r="AG10" s="122"/>
    </row>
    <row r="11" spans="2:33" ht="42" customHeight="1">
      <c r="B11" s="614"/>
      <c r="E11" s="125">
        <f t="shared" si="0"/>
        <v>5</v>
      </c>
      <c r="F11" s="1">
        <f>'Исходные данные'!B10</f>
        <v>0</v>
      </c>
      <c r="G11" s="1">
        <f>'Исходные данные'!C10</f>
        <v>0</v>
      </c>
      <c r="H11" s="1">
        <f>'Исходные данные'!D10</f>
        <v>0</v>
      </c>
      <c r="I11" s="77">
        <f>IF('Исходные данные'!O10="---",IF('Исходные данные'!P10="---",IF('Исходные данные'!Q10="---",0,"ВГ050.00.00.001"),"ВМ0114.01.00.001"),"ВМ0113.01.00.001")</f>
        <v>0</v>
      </c>
      <c r="J11" s="389" t="str">
        <f>'Труматик гермики'!D11</f>
        <v>---</v>
      </c>
      <c r="K11" s="389"/>
      <c r="L11" s="389" t="str">
        <f>'Труматик гермики'!E11</f>
        <v>--</v>
      </c>
      <c r="M11" s="389">
        <f>'Исходные данные'!K10</f>
        <v>0</v>
      </c>
      <c r="N11" s="390">
        <f>IF('Исходные данные'!O10="---",IF('Исходные данные'!P10="---",IF('Исходные данные'!Q10="---",0,"ВГ050.00.00.002"),"ВМ0114.01.00.002"),"ВМ 0113.01.00.002")</f>
        <v>0</v>
      </c>
      <c r="O11" s="389">
        <f>'Исходные данные'!G10</f>
        <v>0</v>
      </c>
      <c r="P11" s="391" t="str">
        <f>'Труматик гермики'!E12</f>
        <v>--</v>
      </c>
      <c r="Q11" s="389" t="str">
        <f>'Труматик гермики'!J11</f>
        <v>---</v>
      </c>
      <c r="R11" s="389">
        <f>'Исходные данные'!H10</f>
        <v>0</v>
      </c>
      <c r="S11" s="392" t="str">
        <f>IF(G11="Регуляр",'Исходные данные'!G10-4,"---")</f>
        <v>---</v>
      </c>
      <c r="T11" s="392" t="str">
        <f>IF(S11="---","---",'Исходные данные'!K10)</f>
        <v>---</v>
      </c>
      <c r="U11" s="389" t="str">
        <f>IF(S11="---","---",'Труматик гермики'!Q11)</f>
        <v>---</v>
      </c>
      <c r="V11" s="389" t="str">
        <f>IF(S11="---","---",U11*'Исходные данные'!H10)</f>
        <v>---</v>
      </c>
      <c r="W11" s="199" t="str">
        <f>IF('Исходные данные'!M10=1,"Комплект кожухов","---")</f>
        <v>---</v>
      </c>
      <c r="X11" s="393" t="str">
        <f>'Труматик гермики'!J11</f>
        <v>---</v>
      </c>
      <c r="Y11" s="393" t="str">
        <f>IF('Исходные данные'!L10=1,'Ножницы упор'!G11,IF('Исходные данные'!L10=2,'Ножницы упор'!G11,IF('Исходные данные'!L10=3,0,IF('Исходные данные'!L10=4,'Ножницы упор'!G11,"---"))))</f>
        <v>---</v>
      </c>
      <c r="Z11" s="393" t="str">
        <f>IF('Исходные данные'!L10=1,'Ножницы упор'!F11,IF('Исходные данные'!L10=2,'Ножницы упор'!F11,IF('Исходные данные'!L10=3,0,IF('Исходные данные'!L10=4,'Ножницы упор'!F11,"---"))))</f>
        <v>---</v>
      </c>
      <c r="AA11" s="393">
        <f>IF('Исходные данные'!M10=1,'Исходные данные'!H10*2,IF('Исходные данные'!M10=2,'Исходные данные'!H10*2,IF('Исходные данные'!M10=3,'Исходные данные'!H10*2,IF('Исходные данные'!M10=4,'Исходные данные'!H10*2,))))</f>
        <v>0</v>
      </c>
      <c r="AB11" s="393">
        <f>IF('Исходные данные'!L10=1,"ОЦ",IF('Исходные данные'!L10=2,"Нерж",IF('Исходные данные'!L10=3,"ОЦ",IF('Исходные данные'!L10=4,"краш",0))))</f>
        <v>0</v>
      </c>
      <c r="AC11" s="394">
        <v>4</v>
      </c>
      <c r="AD11" s="201">
        <v>0</v>
      </c>
      <c r="AE11" s="619"/>
      <c r="AF11" s="618"/>
      <c r="AG11" s="119"/>
    </row>
    <row r="12" spans="2:33" ht="34.5" customHeight="1">
      <c r="B12" s="614"/>
      <c r="E12" s="125">
        <f t="shared" si="0"/>
        <v>6</v>
      </c>
      <c r="F12" s="1">
        <f>'Исходные данные'!B11</f>
        <v>0</v>
      </c>
      <c r="G12" s="1">
        <f>'Исходные данные'!C11</f>
        <v>0</v>
      </c>
      <c r="H12" s="1">
        <f>'Исходные данные'!D11</f>
        <v>0</v>
      </c>
      <c r="I12" s="77">
        <f>IF('Исходные данные'!O11="---",IF('Исходные данные'!P11="---",IF('Исходные данные'!Q11="---",0,"ВГ050.00.00.001"),"ВМ0114.01.00.001"),"ВМ0113.01.00.001")</f>
        <v>0</v>
      </c>
      <c r="J12" s="389" t="str">
        <f>'Труматик гермики'!D12</f>
        <v>---</v>
      </c>
      <c r="K12" s="389"/>
      <c r="L12" s="389" t="str">
        <f>'Труматик гермики'!E12</f>
        <v>--</v>
      </c>
      <c r="M12" s="389">
        <f>'Исходные данные'!K11</f>
        <v>0</v>
      </c>
      <c r="N12" s="390">
        <f>IF('Исходные данные'!O11="---",IF('Исходные данные'!P11="---",IF('Исходные данные'!Q11="---",0,"ВГ050.00.00.002"),"ВМ0114.01.00.002"),"ВМ 0113.01.00.002")</f>
        <v>0</v>
      </c>
      <c r="O12" s="389">
        <f>'Исходные данные'!G11</f>
        <v>0</v>
      </c>
      <c r="P12" s="391" t="str">
        <f>'Труматик гермики'!E13</f>
        <v>--</v>
      </c>
      <c r="Q12" s="389" t="str">
        <f>'Труматик гермики'!J12</f>
        <v>---</v>
      </c>
      <c r="R12" s="389">
        <f>'Исходные данные'!H11</f>
        <v>0</v>
      </c>
      <c r="S12" s="392" t="str">
        <f>IF(G12="Регуляр",'Исходные данные'!G11-4,"---")</f>
        <v>---</v>
      </c>
      <c r="T12" s="392" t="str">
        <f>IF(S12="---","---",'Исходные данные'!K11)</f>
        <v>---</v>
      </c>
      <c r="U12" s="389" t="str">
        <f>IF(S12="---","---",'Труматик гермики'!Q12)</f>
        <v>---</v>
      </c>
      <c r="V12" s="389" t="str">
        <f>IF(S12="---","---",U12*'Исходные данные'!H11)</f>
        <v>---</v>
      </c>
      <c r="W12" s="199" t="str">
        <f>IF('Исходные данные'!M11=1,"Комплект кожухов","---")</f>
        <v>---</v>
      </c>
      <c r="X12" s="393" t="str">
        <f>'Труматик гермики'!J12</f>
        <v>---</v>
      </c>
      <c r="Y12" s="393" t="str">
        <f>IF('Исходные данные'!L11=1,'Ножницы упор'!G12,IF('Исходные данные'!L11=2,'Ножницы упор'!G12,IF('Исходные данные'!L11=3,0,IF('Исходные данные'!L11=4,'Ножницы упор'!G12,"---"))))</f>
        <v>---</v>
      </c>
      <c r="Z12" s="393" t="str">
        <f>IF('Исходные данные'!L11=1,'Ножницы упор'!F12,IF('Исходные данные'!L11=2,'Ножницы упор'!F12,IF('Исходные данные'!L11=3,0,IF('Исходные данные'!L11=4,'Ножницы упор'!F12,"---"))))</f>
        <v>---</v>
      </c>
      <c r="AA12" s="393">
        <f>IF('Исходные данные'!M11=1,'Исходные данные'!H11*2,IF('Исходные данные'!M11=2,'Исходные данные'!H11*2,IF('Исходные данные'!M11=3,'Исходные данные'!H11*2,IF('Исходные данные'!M11=4,'Исходные данные'!H11*2,))))</f>
        <v>0</v>
      </c>
      <c r="AB12" s="393">
        <f>IF('Исходные данные'!L11=1,"ОЦ",IF('Исходные данные'!L11=2,"Нерж",IF('Исходные данные'!L11=3,"ОЦ",IF('Исходные данные'!L11=4,"краш",0))))</f>
        <v>0</v>
      </c>
      <c r="AC12" s="394">
        <v>5</v>
      </c>
      <c r="AD12" s="201">
        <v>0</v>
      </c>
      <c r="AE12" s="619"/>
      <c r="AF12" s="618"/>
      <c r="AG12" s="618" t="s">
        <v>239</v>
      </c>
    </row>
    <row r="13" spans="2:33" ht="21.75" customHeight="1">
      <c r="B13" s="614"/>
      <c r="E13" s="125">
        <f t="shared" si="0"/>
        <v>7</v>
      </c>
      <c r="F13" s="1">
        <f>'Исходные данные'!B12</f>
        <v>0</v>
      </c>
      <c r="G13" s="1">
        <f>'Исходные данные'!C12</f>
        <v>0</v>
      </c>
      <c r="H13" s="1">
        <f>'Исходные данные'!D12</f>
        <v>0</v>
      </c>
      <c r="I13" s="77">
        <f>IF('Исходные данные'!O12="---",IF('Исходные данные'!P12="---",IF('Исходные данные'!Q12="---",0,"ВГ050.00.00.001"),"ВМ0114.01.00.001"),"ВМ0113.01.00.001")</f>
        <v>0</v>
      </c>
      <c r="J13" s="389" t="str">
        <f>'Труматик гермики'!D13</f>
        <v>---</v>
      </c>
      <c r="K13" s="389"/>
      <c r="L13" s="389" t="str">
        <f>'Труматик гермики'!E13</f>
        <v>--</v>
      </c>
      <c r="M13" s="389">
        <f>'Исходные данные'!K12</f>
        <v>0</v>
      </c>
      <c r="N13" s="390">
        <f>IF('Исходные данные'!O12="---",IF('Исходные данные'!P12="---",IF('Исходные данные'!Q12="---",0,"ВГ050.00.00.002"),"ВМ0114.01.00.002"),"ВМ 0113.01.00.002")</f>
        <v>0</v>
      </c>
      <c r="O13" s="389">
        <f>'Исходные данные'!G12</f>
        <v>0</v>
      </c>
      <c r="P13" s="391" t="str">
        <f>'Труматик гермики'!E14</f>
        <v>--</v>
      </c>
      <c r="Q13" s="389" t="str">
        <f>'Труматик гермики'!J13</f>
        <v>---</v>
      </c>
      <c r="R13" s="389">
        <f>'Исходные данные'!H12</f>
        <v>0</v>
      </c>
      <c r="S13" s="392" t="str">
        <f>IF(G13="Регуляр",'Исходные данные'!G12-4,"---")</f>
        <v>---</v>
      </c>
      <c r="T13" s="392" t="str">
        <f>IF(S13="---","---",'Исходные данные'!K12)</f>
        <v>---</v>
      </c>
      <c r="U13" s="389" t="str">
        <f>IF(S13="---","---",'Труматик гермики'!Q13)</f>
        <v>---</v>
      </c>
      <c r="V13" s="389" t="str">
        <f>IF(S13="---","---",U13*'Исходные данные'!H12)</f>
        <v>---</v>
      </c>
      <c r="W13" s="199" t="str">
        <f>IF('Исходные данные'!M12=1,"Комплект кожухов","---")</f>
        <v>---</v>
      </c>
      <c r="X13" s="393" t="str">
        <f>'Труматик гермики'!J13</f>
        <v>---</v>
      </c>
      <c r="Y13" s="393" t="str">
        <f>IF('Исходные данные'!L12=1,'Ножницы упор'!G13,IF('Исходные данные'!L12=2,'Ножницы упор'!G13,IF('Исходные данные'!L12=3,0,IF('Исходные данные'!L12=4,'Ножницы упор'!G13,"---"))))</f>
        <v>---</v>
      </c>
      <c r="Z13" s="393" t="str">
        <f>IF('Исходные данные'!L12=1,'Ножницы упор'!F13,IF('Исходные данные'!L12=2,'Ножницы упор'!F13,IF('Исходные данные'!L12=3,0,IF('Исходные данные'!L12=4,'Ножницы упор'!F13,"---"))))</f>
        <v>---</v>
      </c>
      <c r="AA13" s="393">
        <f>IF('Исходные данные'!M12=1,'Исходные данные'!H12*2,IF('Исходные данные'!M12=2,'Исходные данные'!H12*2,IF('Исходные данные'!M12=3,'Исходные данные'!H12*2,IF('Исходные данные'!M12=4,'Исходные данные'!H12*2,))))</f>
        <v>0</v>
      </c>
      <c r="AB13" s="393">
        <f>IF('Исходные данные'!L12=1,"ОЦ",IF('Исходные данные'!L12=2,"Нерж",IF('Исходные данные'!L12=3,"ОЦ",IF('Исходные данные'!L12=4,"краш",0))))</f>
        <v>0</v>
      </c>
      <c r="AC13" s="394">
        <v>6</v>
      </c>
      <c r="AD13" s="201">
        <v>0</v>
      </c>
      <c r="AE13" s="619"/>
      <c r="AF13" s="618"/>
      <c r="AG13" s="618"/>
    </row>
    <row r="14" spans="2:33" ht="21.75" customHeight="1">
      <c r="B14" s="614"/>
      <c r="E14" s="125">
        <f t="shared" si="0"/>
        <v>8</v>
      </c>
      <c r="F14" s="1">
        <f>'Исходные данные'!B13</f>
        <v>0</v>
      </c>
      <c r="G14" s="1">
        <f>'Исходные данные'!C13</f>
        <v>0</v>
      </c>
      <c r="H14" s="1">
        <f>'Исходные данные'!D13</f>
        <v>0</v>
      </c>
      <c r="I14" s="77">
        <f>IF('Исходные данные'!O13="---",IF('Исходные данные'!P13="---",IF('Исходные данные'!Q13="---",0,"ВГ050.00.00.001"),"ВМ0114.01.00.001"),"ВМ0113.01.00.001")</f>
        <v>0</v>
      </c>
      <c r="J14" s="389" t="str">
        <f>'Труматик гермики'!D14</f>
        <v>---</v>
      </c>
      <c r="K14" s="389"/>
      <c r="L14" s="389" t="str">
        <f>'Труматик гермики'!E14</f>
        <v>--</v>
      </c>
      <c r="M14" s="389">
        <f>'Исходные данные'!K13</f>
        <v>0</v>
      </c>
      <c r="N14" s="390">
        <f>IF('Исходные данные'!O13="---",IF('Исходные данные'!P13="---",IF('Исходные данные'!Q13="---",0,"ВГ050.00.00.002"),"ВМ0114.01.00.002"),"ВМ 0113.01.00.002")</f>
        <v>0</v>
      </c>
      <c r="O14" s="389">
        <f>'Исходные данные'!G13</f>
        <v>0</v>
      </c>
      <c r="P14" s="391" t="str">
        <f>'Труматик гермики'!E15</f>
        <v>--</v>
      </c>
      <c r="Q14" s="389" t="str">
        <f>'Труматик гермики'!J14</f>
        <v>---</v>
      </c>
      <c r="R14" s="389">
        <f>'Исходные данные'!H13</f>
        <v>0</v>
      </c>
      <c r="S14" s="392" t="str">
        <f>IF(G14="Регуляр",'Исходные данные'!G13-4,"---")</f>
        <v>---</v>
      </c>
      <c r="T14" s="392" t="str">
        <f>IF(S14="---","---",'Исходные данные'!K13)</f>
        <v>---</v>
      </c>
      <c r="U14" s="389" t="str">
        <f>IF(S14="---","---",'Труматик гермики'!Q14)</f>
        <v>---</v>
      </c>
      <c r="V14" s="389" t="str">
        <f>IF(S14="---","---",U14*'Исходные данные'!H13)</f>
        <v>---</v>
      </c>
      <c r="W14" s="199" t="str">
        <f>IF('Исходные данные'!M13=1,"Комплект кожухов","---")</f>
        <v>---</v>
      </c>
      <c r="X14" s="393" t="str">
        <f>'Труматик гермики'!J14</f>
        <v>---</v>
      </c>
      <c r="Y14" s="393" t="str">
        <f>IF('Исходные данные'!L13=1,'Ножницы упор'!G14,IF('Исходные данные'!L13=2,'Ножницы упор'!G14,IF('Исходные данные'!L13=3,0,IF('Исходные данные'!L13=4,'Ножницы упор'!G14,"---"))))</f>
        <v>---</v>
      </c>
      <c r="Z14" s="393" t="str">
        <f>IF('Исходные данные'!L13=1,'Ножницы упор'!F14,IF('Исходные данные'!L13=2,'Ножницы упор'!F14,IF('Исходные данные'!L13=3,0,IF('Исходные данные'!L13=4,'Ножницы упор'!F14,"---"))))</f>
        <v>---</v>
      </c>
      <c r="AA14" s="393">
        <f>IF('Исходные данные'!M13=1,'Исходные данные'!H13*2,IF('Исходные данные'!M13=2,'Исходные данные'!H13*2,IF('Исходные данные'!M13=3,'Исходные данные'!H13*2,IF('Исходные данные'!M13=4,'Исходные данные'!H13*2,))))</f>
        <v>0</v>
      </c>
      <c r="AB14" s="393">
        <f>IF('Исходные данные'!L13=1,"ОЦ",IF('Исходные данные'!L13=2,"Нерж",IF('Исходные данные'!L13=3,"ОЦ",IF('Исходные данные'!L13=4,"краш",0))))</f>
        <v>0</v>
      </c>
      <c r="AC14" s="394">
        <v>7</v>
      </c>
      <c r="AD14" s="201">
        <v>0</v>
      </c>
      <c r="AE14" s="619"/>
      <c r="AF14" s="618"/>
      <c r="AG14" s="618"/>
    </row>
    <row r="15" spans="2:33" ht="21.75" customHeight="1">
      <c r="B15" s="614"/>
      <c r="E15" s="125">
        <f t="shared" si="0"/>
        <v>9</v>
      </c>
      <c r="F15" s="1">
        <f>'Исходные данные'!B14</f>
        <v>0</v>
      </c>
      <c r="G15" s="1">
        <f>'Исходные данные'!C14</f>
        <v>0</v>
      </c>
      <c r="H15" s="1">
        <f>'Исходные данные'!D14</f>
        <v>0</v>
      </c>
      <c r="I15" s="77">
        <f>IF('Исходные данные'!O14="---",IF('Исходные данные'!P14="---",IF('Исходные данные'!Q14="---",0,"ВГ050.00.00.001"),"ВМ0114.01.00.001"),"ВМ0113.01.00.001")</f>
        <v>0</v>
      </c>
      <c r="J15" s="389" t="str">
        <f>'Труматик гермики'!D15</f>
        <v>---</v>
      </c>
      <c r="K15" s="389"/>
      <c r="L15" s="389" t="str">
        <f>'Труматик гермики'!E15</f>
        <v>--</v>
      </c>
      <c r="M15" s="389">
        <f>'Исходные данные'!K14</f>
        <v>0</v>
      </c>
      <c r="N15" s="390">
        <f>IF('Исходные данные'!O14="---",IF('Исходные данные'!P14="---",IF('Исходные данные'!Q14="---",0,"ВГ050.00.00.002"),"ВМ0114.01.00.002"),"ВМ 0113.01.00.002")</f>
        <v>0</v>
      </c>
      <c r="O15" s="389">
        <f>'Исходные данные'!G14</f>
        <v>0</v>
      </c>
      <c r="P15" s="391" t="str">
        <f>'Труматик гермики'!E16</f>
        <v>--</v>
      </c>
      <c r="Q15" s="389" t="str">
        <f>'Труматик гермики'!J15</f>
        <v>---</v>
      </c>
      <c r="R15" s="389">
        <f>'Исходные данные'!H14</f>
        <v>0</v>
      </c>
      <c r="S15" s="392" t="str">
        <f>IF(G15="Регуляр",'Исходные данные'!G14-4,"---")</f>
        <v>---</v>
      </c>
      <c r="T15" s="392" t="str">
        <f>IF(S15="---","---",'Исходные данные'!K14)</f>
        <v>---</v>
      </c>
      <c r="U15" s="389" t="str">
        <f>IF(S15="---","---",'Труматик гермики'!Q15)</f>
        <v>---</v>
      </c>
      <c r="V15" s="389" t="str">
        <f>IF(S15="---","---",U15*'Исходные данные'!H14)</f>
        <v>---</v>
      </c>
      <c r="W15" s="199" t="str">
        <f>IF('Исходные данные'!M14=1,"Комплект кожухов","---")</f>
        <v>---</v>
      </c>
      <c r="X15" s="393" t="str">
        <f>'Труматик гермики'!J15</f>
        <v>---</v>
      </c>
      <c r="Y15" s="393" t="str">
        <f>IF('Исходные данные'!L14=1,'Ножницы упор'!G15,IF('Исходные данные'!L14=2,'Ножницы упор'!G15,IF('Исходные данные'!L14=3,0,IF('Исходные данные'!L14=4,'Ножницы упор'!G15,"---"))))</f>
        <v>---</v>
      </c>
      <c r="Z15" s="393" t="str">
        <f>IF('Исходные данные'!L14=1,'Ножницы упор'!F15,IF('Исходные данные'!L14=2,'Ножницы упор'!F15,IF('Исходные данные'!L14=3,0,IF('Исходные данные'!L14=4,'Ножницы упор'!F15,"---"))))</f>
        <v>---</v>
      </c>
      <c r="AA15" s="393">
        <f>IF('Исходные данные'!M14=1,'Исходные данные'!H14*2,IF('Исходные данные'!M14=2,'Исходные данные'!H14*2,IF('Исходные данные'!M14=3,'Исходные данные'!H14*2,IF('Исходные данные'!M14=4,'Исходные данные'!H14*2,))))</f>
        <v>0</v>
      </c>
      <c r="AB15" s="393">
        <f>IF('Исходные данные'!L14=1,"ОЦ",IF('Исходные данные'!L14=2,"Нерж",IF('Исходные данные'!L14=3,"ОЦ",IF('Исходные данные'!L14=4,"краш",0))))</f>
        <v>0</v>
      </c>
      <c r="AC15" s="394">
        <v>8</v>
      </c>
      <c r="AD15" s="201">
        <v>0</v>
      </c>
      <c r="AE15" s="619"/>
      <c r="AF15" s="618"/>
      <c r="AG15" s="119"/>
    </row>
    <row r="16" spans="2:33" ht="21.75" customHeight="1">
      <c r="B16" s="614"/>
      <c r="E16" s="125">
        <f t="shared" si="0"/>
        <v>10</v>
      </c>
      <c r="F16" s="1">
        <f>'Исходные данные'!B15</f>
        <v>0</v>
      </c>
      <c r="G16" s="1">
        <f>'Исходные данные'!C15</f>
        <v>0</v>
      </c>
      <c r="H16" s="1">
        <f>'Исходные данные'!D15</f>
        <v>0</v>
      </c>
      <c r="I16" s="77">
        <f>IF('Исходные данные'!O15="---",IF('Исходные данные'!P15="---",IF('Исходные данные'!Q15="---",0,"ВГ050.00.00.001"),"ВМ0114.01.00.001"),"ВМ0113.01.00.001")</f>
        <v>0</v>
      </c>
      <c r="J16" s="389" t="str">
        <f>'Труматик гермики'!D16</f>
        <v>---</v>
      </c>
      <c r="K16" s="389"/>
      <c r="L16" s="389" t="str">
        <f>'Труматик гермики'!E16</f>
        <v>--</v>
      </c>
      <c r="M16" s="389">
        <f>'Исходные данные'!K15</f>
        <v>0</v>
      </c>
      <c r="N16" s="390">
        <f>IF('Исходные данные'!O15="---",IF('Исходные данные'!P15="---",IF('Исходные данные'!Q15="---",0,"ВГ050.00.00.002"),"ВМ0114.01.00.002"),"ВМ 0113.01.00.002")</f>
        <v>0</v>
      </c>
      <c r="O16" s="389">
        <f>'Исходные данные'!G15</f>
        <v>0</v>
      </c>
      <c r="P16" s="391" t="str">
        <f>'Труматик гермики'!E17</f>
        <v>--</v>
      </c>
      <c r="Q16" s="389" t="str">
        <f>'Труматик гермики'!J16</f>
        <v>---</v>
      </c>
      <c r="R16" s="389">
        <f>'Исходные данные'!H15</f>
        <v>0</v>
      </c>
      <c r="S16" s="392" t="str">
        <f>IF(G16="Регуляр",'Исходные данные'!G15-4,"---")</f>
        <v>---</v>
      </c>
      <c r="T16" s="392" t="str">
        <f>IF(S16="---","---",'Исходные данные'!K15)</f>
        <v>---</v>
      </c>
      <c r="U16" s="389" t="str">
        <f>IF(S16="---","---",'Труматик гермики'!Q16)</f>
        <v>---</v>
      </c>
      <c r="V16" s="389" t="str">
        <f>IF(S16="---","---",U16*'Исходные данные'!H15)</f>
        <v>---</v>
      </c>
      <c r="W16" s="199" t="str">
        <f>IF('Исходные данные'!M15=1,"Комплект кожухов","---")</f>
        <v>---</v>
      </c>
      <c r="X16" s="393" t="str">
        <f>'Труматик гермики'!J16</f>
        <v>---</v>
      </c>
      <c r="Y16" s="393" t="str">
        <f>IF('Исходные данные'!L15=1,'Ножницы упор'!G16,IF('Исходные данные'!L15=2,'Ножницы упор'!G16,IF('Исходные данные'!L15=3,0,IF('Исходные данные'!L15=4,'Ножницы упор'!G16,"---"))))</f>
        <v>---</v>
      </c>
      <c r="Z16" s="393" t="str">
        <f>IF('Исходные данные'!L15=1,'Ножницы упор'!F16,IF('Исходные данные'!L15=2,'Ножницы упор'!F16,IF('Исходные данные'!L15=3,0,IF('Исходные данные'!L15=4,'Ножницы упор'!F16,"---"))))</f>
        <v>---</v>
      </c>
      <c r="AA16" s="393">
        <f>IF('Исходные данные'!M15=1,'Исходные данные'!H15*2,IF('Исходные данные'!M15=2,'Исходные данные'!H15*2,IF('Исходные данные'!M15=3,'Исходные данные'!H15*2,IF('Исходные данные'!M15=4,'Исходные данные'!H15*2,))))</f>
        <v>0</v>
      </c>
      <c r="AB16" s="393">
        <f>IF('Исходные данные'!L15=1,"ОЦ",IF('Исходные данные'!L15=2,"Нерж",IF('Исходные данные'!L15=3,"ОЦ",IF('Исходные данные'!L15=4,"краш",0))))</f>
        <v>0</v>
      </c>
      <c r="AC16" s="394">
        <v>9</v>
      </c>
      <c r="AD16" s="201">
        <v>0</v>
      </c>
      <c r="AE16" s="619"/>
      <c r="AF16" s="618"/>
      <c r="AG16" s="618" t="s">
        <v>241</v>
      </c>
    </row>
    <row r="17" spans="1:33" ht="21.75" customHeight="1">
      <c r="B17" s="614"/>
      <c r="C17" s="481" t="s">
        <v>285</v>
      </c>
      <c r="D17" s="483" t="s">
        <v>286</v>
      </c>
      <c r="E17" s="125">
        <f t="shared" si="0"/>
        <v>11</v>
      </c>
      <c r="F17" s="1">
        <f>'Исходные данные'!B16</f>
        <v>0</v>
      </c>
      <c r="G17" s="1">
        <f>'Исходные данные'!C16</f>
        <v>0</v>
      </c>
      <c r="H17" s="1">
        <f>'Исходные данные'!D16</f>
        <v>0</v>
      </c>
      <c r="I17" s="77">
        <f>IF('Исходные данные'!O16="---",IF('Исходные данные'!P16="---",IF('Исходные данные'!Q16="---",0,"ВГ050.00.00.001"),"ВМ0114.01.00.001"),"ВМ0113.01.00.001")</f>
        <v>0</v>
      </c>
      <c r="J17" s="389" t="str">
        <f>'Труматик гермики'!D17</f>
        <v>---</v>
      </c>
      <c r="K17" s="389"/>
      <c r="L17" s="389" t="str">
        <f>'Труматик гермики'!E17</f>
        <v>--</v>
      </c>
      <c r="M17" s="389">
        <f>'Исходные данные'!K16</f>
        <v>0</v>
      </c>
      <c r="N17" s="390">
        <f>IF('Исходные данные'!O16="---",IF('Исходные данные'!P16="---",IF('Исходные данные'!Q16="---",0,"ВГ050.00.00.002"),"ВМ0114.01.00.002"),"ВМ 0113.01.00.002")</f>
        <v>0</v>
      </c>
      <c r="O17" s="389">
        <f>'Исходные данные'!G16</f>
        <v>0</v>
      </c>
      <c r="P17" s="391" t="str">
        <f>'Труматик гермики'!E18</f>
        <v>--</v>
      </c>
      <c r="Q17" s="389" t="str">
        <f>'Труматик гермики'!J17</f>
        <v>---</v>
      </c>
      <c r="R17" s="389">
        <f>'Исходные данные'!H16</f>
        <v>0</v>
      </c>
      <c r="S17" s="392" t="str">
        <f>IF(G17="Регуляр",'Исходные данные'!G16-4,"---")</f>
        <v>---</v>
      </c>
      <c r="T17" s="392" t="str">
        <f>IF(S17="---","---",'Исходные данные'!K16)</f>
        <v>---</v>
      </c>
      <c r="U17" s="389" t="str">
        <f>IF(S17="---","---",'Труматик гермики'!Q17)</f>
        <v>---</v>
      </c>
      <c r="V17" s="389" t="str">
        <f>IF(S17="---","---",U17*'Исходные данные'!H16)</f>
        <v>---</v>
      </c>
      <c r="W17" s="199" t="str">
        <f>IF('Исходные данные'!M16=1,"Комплект кожухов","---")</f>
        <v>---</v>
      </c>
      <c r="X17" s="393" t="str">
        <f>'Труматик гермики'!J17</f>
        <v>---</v>
      </c>
      <c r="Y17" s="393" t="str">
        <f>IF('Исходные данные'!L16=1,'Ножницы упор'!G17,IF('Исходные данные'!L16=2,'Ножницы упор'!G17,IF('Исходные данные'!L16=3,0,IF('Исходные данные'!L16=4,'Ножницы упор'!G17,"---"))))</f>
        <v>---</v>
      </c>
      <c r="Z17" s="393" t="str">
        <f>IF('Исходные данные'!L16=1,'Ножницы упор'!F17,IF('Исходные данные'!L16=2,'Ножницы упор'!F17,IF('Исходные данные'!L16=3,0,IF('Исходные данные'!L16=4,'Ножницы упор'!F17,"---"))))</f>
        <v>---</v>
      </c>
      <c r="AA17" s="393">
        <f>IF('Исходные данные'!M16=1,'Исходные данные'!H16*2,IF('Исходные данные'!M16=2,'Исходные данные'!H16*2,IF('Исходные данные'!M16=3,'Исходные данные'!H16*2,IF('Исходные данные'!M16=4,'Исходные данные'!H16*2,))))</f>
        <v>0</v>
      </c>
      <c r="AB17" s="393">
        <f>IF('Исходные данные'!L16=1,"ОЦ",IF('Исходные данные'!L16=2,"Нерж",IF('Исходные данные'!L16=3,"ОЦ",IF('Исходные данные'!L16=4,"краш",0))))</f>
        <v>0</v>
      </c>
      <c r="AC17" s="394">
        <v>10</v>
      </c>
      <c r="AD17" s="201">
        <v>0</v>
      </c>
      <c r="AF17" s="618"/>
      <c r="AG17" s="618"/>
    </row>
    <row r="18" spans="1:33" ht="21.75" customHeight="1">
      <c r="B18" s="614"/>
      <c r="C18" s="481"/>
      <c r="D18" s="483"/>
      <c r="E18" s="125">
        <f t="shared" si="0"/>
        <v>12</v>
      </c>
      <c r="F18" s="1">
        <f>'Исходные данные'!B17</f>
        <v>0</v>
      </c>
      <c r="G18" s="1">
        <f>'Исходные данные'!C17</f>
        <v>0</v>
      </c>
      <c r="H18" s="1">
        <f>'Исходные данные'!D17</f>
        <v>0</v>
      </c>
      <c r="I18" s="77">
        <f>IF('Исходные данные'!O17="---",IF('Исходные данные'!P17="---",IF('Исходные данные'!Q17="---",0,"ВГ050.00.00.001"),"ВМ0114.01.00.001"),"ВМ0113.01.00.001")</f>
        <v>0</v>
      </c>
      <c r="J18" s="389" t="str">
        <f>'Труматик гермики'!D18</f>
        <v>---</v>
      </c>
      <c r="K18" s="389"/>
      <c r="L18" s="389" t="str">
        <f>'Труматик гермики'!E18</f>
        <v>--</v>
      </c>
      <c r="M18" s="389">
        <f>'Исходные данные'!K17</f>
        <v>0</v>
      </c>
      <c r="N18" s="390">
        <f>IF('Исходные данные'!O17="---",IF('Исходные данные'!P17="---",IF('Исходные данные'!Q17="---",0,"ВГ050.00.00.002"),"ВМ0114.01.00.002"),"ВМ 0113.01.00.002")</f>
        <v>0</v>
      </c>
      <c r="O18" s="389">
        <f>'Исходные данные'!G17</f>
        <v>0</v>
      </c>
      <c r="P18" s="391" t="str">
        <f>'Труматик гермики'!E19</f>
        <v>--</v>
      </c>
      <c r="Q18" s="389" t="str">
        <f>'Труматик гермики'!J18</f>
        <v>---</v>
      </c>
      <c r="R18" s="389">
        <f>'Исходные данные'!H17</f>
        <v>0</v>
      </c>
      <c r="S18" s="392" t="str">
        <f>IF(G18="Регуляр",'Исходные данные'!G17-4,"---")</f>
        <v>---</v>
      </c>
      <c r="T18" s="392" t="str">
        <f>IF(S18="---","---",'Исходные данные'!K17)</f>
        <v>---</v>
      </c>
      <c r="U18" s="389" t="str">
        <f>IF(S18="---","---",'Труматик гермики'!Q18)</f>
        <v>---</v>
      </c>
      <c r="V18" s="389" t="str">
        <f>IF(S18="---","---",U18*'Исходные данные'!H17)</f>
        <v>---</v>
      </c>
      <c r="W18" s="199" t="str">
        <f>IF('Исходные данные'!M17=1,"Комплект кожухов","---")</f>
        <v>---</v>
      </c>
      <c r="X18" s="393" t="str">
        <f>'Труматик гермики'!J18</f>
        <v>---</v>
      </c>
      <c r="Y18" s="393" t="str">
        <f>IF('Исходные данные'!L17=1,'Ножницы упор'!G18,IF('Исходные данные'!L17=2,'Ножницы упор'!G18,IF('Исходные данные'!L17=3,0,IF('Исходные данные'!L17=4,'Ножницы упор'!G18,"---"))))</f>
        <v>---</v>
      </c>
      <c r="Z18" s="393" t="str">
        <f>IF('Исходные данные'!L17=1,'Ножницы упор'!F18,IF('Исходные данные'!L17=2,'Ножницы упор'!F18,IF('Исходные данные'!L17=3,0,IF('Исходные данные'!L17=4,'Ножницы упор'!F18,"---"))))</f>
        <v>---</v>
      </c>
      <c r="AA18" s="393">
        <f>IF('Исходные данные'!M17=1,'Исходные данные'!H17*2,IF('Исходные данные'!M17=2,'Исходные данные'!H17*2,IF('Исходные данные'!M17=3,'Исходные данные'!H17*2,IF('Исходные данные'!M17=4,'Исходные данные'!H17*2,))))</f>
        <v>0</v>
      </c>
      <c r="AB18" s="393">
        <f>IF('Исходные данные'!L17=1,"ОЦ",IF('Исходные данные'!L17=2,"Нерж",IF('Исходные данные'!L17=3,"ОЦ",IF('Исходные данные'!L17=4,"краш",0))))</f>
        <v>0</v>
      </c>
      <c r="AC18" s="394">
        <v>11</v>
      </c>
      <c r="AD18" s="201">
        <v>0</v>
      </c>
      <c r="AE18" s="508" t="s">
        <v>242</v>
      </c>
      <c r="AF18" s="618"/>
      <c r="AG18" s="618"/>
    </row>
    <row r="19" spans="1:33" ht="18.75" customHeight="1">
      <c r="B19" s="614"/>
      <c r="C19" s="481"/>
      <c r="D19" s="483"/>
      <c r="E19" s="125">
        <f t="shared" si="0"/>
        <v>13</v>
      </c>
      <c r="F19" s="1">
        <f>'Исходные данные'!B18</f>
        <v>0</v>
      </c>
      <c r="G19" s="1">
        <f>'Исходные данные'!C18</f>
        <v>0</v>
      </c>
      <c r="H19" s="1">
        <f>'Исходные данные'!D18</f>
        <v>0</v>
      </c>
      <c r="I19" s="77">
        <f>IF('Исходные данные'!O18="---",IF('Исходные данные'!P18="---",IF('Исходные данные'!Q18="---",0,"ВГ050.00.00.001"),"ВМ0114.01.00.001"),"ВМ0113.01.00.001")</f>
        <v>0</v>
      </c>
      <c r="J19" s="389" t="str">
        <f>'Труматик гермики'!D19</f>
        <v>---</v>
      </c>
      <c r="K19" s="389"/>
      <c r="L19" s="389" t="str">
        <f>'Труматик гермики'!E19</f>
        <v>--</v>
      </c>
      <c r="M19" s="389">
        <f>'Исходные данные'!K18</f>
        <v>0</v>
      </c>
      <c r="N19" s="390">
        <f>IF('Исходные данные'!O18="---",IF('Исходные данные'!P18="---",IF('Исходные данные'!Q18="---",0,"ВГ050.00.00.002"),"ВМ0114.01.00.002"),"ВМ 0113.01.00.002")</f>
        <v>0</v>
      </c>
      <c r="O19" s="389">
        <f>'Исходные данные'!G18</f>
        <v>0</v>
      </c>
      <c r="P19" s="391" t="str">
        <f>'Труматик гермики'!E20</f>
        <v>--</v>
      </c>
      <c r="Q19" s="389" t="str">
        <f>'Труматик гермики'!J19</f>
        <v>---</v>
      </c>
      <c r="R19" s="389">
        <f>'Исходные данные'!H18</f>
        <v>0</v>
      </c>
      <c r="S19" s="392" t="str">
        <f>IF(G19="Регуляр",'Исходные данные'!G18-4,"---")</f>
        <v>---</v>
      </c>
      <c r="T19" s="392" t="str">
        <f>IF(S19="---","---",'Исходные данные'!K18)</f>
        <v>---</v>
      </c>
      <c r="U19" s="389" t="str">
        <f>IF(S19="---","---",'Труматик гермики'!Q19)</f>
        <v>---</v>
      </c>
      <c r="V19" s="389" t="str">
        <f>IF(S19="---","---",U19*'Исходные данные'!H18)</f>
        <v>---</v>
      </c>
      <c r="W19" s="199" t="str">
        <f>IF('Исходные данные'!M18=1,"Комплект кожухов","---")</f>
        <v>---</v>
      </c>
      <c r="X19" s="393" t="str">
        <f>'Труматик гермики'!J19</f>
        <v>---</v>
      </c>
      <c r="Y19" s="393" t="str">
        <f>IF('Исходные данные'!L18=1,'Ножницы упор'!G19,IF('Исходные данные'!L18=2,'Ножницы упор'!G19,IF('Исходные данные'!L18=3,0,IF('Исходные данные'!L18=4,'Ножницы упор'!G19,"---"))))</f>
        <v>---</v>
      </c>
      <c r="Z19" s="393" t="str">
        <f>IF('Исходные данные'!L18=1,'Ножницы упор'!F19,IF('Исходные данные'!L18=2,'Ножницы упор'!F19,IF('Исходные данные'!L18=3,0,IF('Исходные данные'!L18=4,'Ножницы упор'!F19,"---"))))</f>
        <v>---</v>
      </c>
      <c r="AA19" s="393">
        <f>IF('Исходные данные'!M18=1,'Исходные данные'!H18*2,IF('Исходные данные'!M18=2,'Исходные данные'!H18*2,IF('Исходные данные'!M18=3,'Исходные данные'!H18*2,IF('Исходные данные'!M18=4,'Исходные данные'!H18*2,))))</f>
        <v>0</v>
      </c>
      <c r="AB19" s="393">
        <f>IF('Исходные данные'!L18=1,"ОЦ",IF('Исходные данные'!L18=2,"Нерж",IF('Исходные данные'!L18=3,"ОЦ",IF('Исходные данные'!L18=4,"краш",0))))</f>
        <v>0</v>
      </c>
      <c r="AC19" s="394">
        <v>12</v>
      </c>
      <c r="AD19" s="201">
        <v>0</v>
      </c>
      <c r="AE19" s="508"/>
      <c r="AF19" s="618"/>
      <c r="AG19" s="618"/>
    </row>
    <row r="20" spans="1:33" ht="21.75" customHeight="1">
      <c r="B20" s="614"/>
      <c r="C20" s="481"/>
      <c r="D20" s="483"/>
      <c r="E20" s="125">
        <f t="shared" si="0"/>
        <v>14</v>
      </c>
      <c r="F20" s="1">
        <f>'Исходные данные'!B19</f>
        <v>0</v>
      </c>
      <c r="G20" s="1">
        <f>'Исходные данные'!C19</f>
        <v>0</v>
      </c>
      <c r="H20" s="1">
        <f>'Исходные данные'!D19</f>
        <v>0</v>
      </c>
      <c r="I20" s="77">
        <f>IF('Исходные данные'!O19="---",IF('Исходные данные'!P19="---",IF('Исходные данные'!Q19="---",0,"ВГ050.00.00.001"),"ВМ0114.01.00.001"),"ВМ0113.01.00.001")</f>
        <v>0</v>
      </c>
      <c r="J20" s="389" t="str">
        <f>'Труматик гермики'!D20</f>
        <v>---</v>
      </c>
      <c r="K20" s="389"/>
      <c r="L20" s="389" t="str">
        <f>'Труматик гермики'!E20</f>
        <v>--</v>
      </c>
      <c r="M20" s="389">
        <f>'Исходные данные'!K19</f>
        <v>0</v>
      </c>
      <c r="N20" s="390">
        <f>IF('Исходные данные'!O19="---",IF('Исходные данные'!P19="---",IF('Исходные данные'!Q19="---",0,"ВГ050.00.00.002"),"ВМ0114.01.00.002"),"ВМ 0113.01.00.002")</f>
        <v>0</v>
      </c>
      <c r="O20" s="389">
        <f>'Исходные данные'!G19</f>
        <v>0</v>
      </c>
      <c r="P20" s="391" t="str">
        <f>'Труматик гермики'!E21</f>
        <v>--</v>
      </c>
      <c r="Q20" s="389" t="str">
        <f>'Труматик гермики'!J20</f>
        <v>---</v>
      </c>
      <c r="R20" s="389">
        <f>'Исходные данные'!H19</f>
        <v>0</v>
      </c>
      <c r="S20" s="392" t="str">
        <f>IF(G20="Регуляр",'Исходные данные'!G19-4,"---")</f>
        <v>---</v>
      </c>
      <c r="T20" s="392" t="str">
        <f>IF(S20="---","---",'Исходные данные'!K19)</f>
        <v>---</v>
      </c>
      <c r="U20" s="389" t="str">
        <f>IF(S20="---","---",'Труматик гермики'!Q20)</f>
        <v>---</v>
      </c>
      <c r="V20" s="389" t="str">
        <f>IF(S20="---","---",U20*'Исходные данные'!H19)</f>
        <v>---</v>
      </c>
      <c r="W20" s="199" t="str">
        <f>IF('Исходные данные'!M19=1,"Комплект кожухов","---")</f>
        <v>---</v>
      </c>
      <c r="X20" s="393" t="str">
        <f>'Труматик гермики'!J20</f>
        <v>---</v>
      </c>
      <c r="Y20" s="393" t="str">
        <f>IF('Исходные данные'!L19=1,'Ножницы упор'!G20,IF('Исходные данные'!L19=2,'Ножницы упор'!G20,IF('Исходные данные'!L19=3,0,IF('Исходные данные'!L19=4,'Ножницы упор'!G20,"---"))))</f>
        <v>---</v>
      </c>
      <c r="Z20" s="393" t="str">
        <f>IF('Исходные данные'!L19=1,'Ножницы упор'!F20,IF('Исходные данные'!L19=2,'Ножницы упор'!F20,IF('Исходные данные'!L19=3,0,IF('Исходные данные'!L19=4,'Ножницы упор'!F20,"---"))))</f>
        <v>---</v>
      </c>
      <c r="AA20" s="393">
        <f>IF('Исходные данные'!M19=1,'Исходные данные'!H19*2,IF('Исходные данные'!M19=2,'Исходные данные'!H19*2,IF('Исходные данные'!M19=3,'Исходные данные'!H19*2,IF('Исходные данные'!M19=4,'Исходные данные'!H19*2,))))</f>
        <v>0</v>
      </c>
      <c r="AB20" s="393">
        <f>IF('Исходные данные'!L19=1,"ОЦ",IF('Исходные данные'!L19=2,"Нерж",IF('Исходные данные'!L19=3,"ОЦ",IF('Исходные данные'!L19=4,"краш",0))))</f>
        <v>0</v>
      </c>
      <c r="AC20" s="394">
        <v>13</v>
      </c>
      <c r="AD20" s="201">
        <v>0</v>
      </c>
      <c r="AE20" s="508"/>
      <c r="AF20" s="119"/>
      <c r="AG20" s="618"/>
    </row>
    <row r="21" spans="1:33" ht="21.75" customHeight="1">
      <c r="B21" s="614"/>
      <c r="C21" s="481"/>
      <c r="D21" s="483"/>
      <c r="E21" s="125">
        <f t="shared" si="0"/>
        <v>15</v>
      </c>
      <c r="F21" s="1">
        <f>'Исходные данные'!B20</f>
        <v>0</v>
      </c>
      <c r="G21" s="1">
        <f>'Исходные данные'!C20</f>
        <v>0</v>
      </c>
      <c r="H21" s="1">
        <f>'Исходные данные'!D20</f>
        <v>0</v>
      </c>
      <c r="I21" s="77">
        <f>IF('Исходные данные'!O20="---",IF('Исходные данные'!P20="---",IF('Исходные данные'!Q20="---",0,"ВГ050.00.00.001"),"ВМ0114.01.00.001"),"ВМ0113.01.00.001")</f>
        <v>0</v>
      </c>
      <c r="J21" s="389" t="str">
        <f>'Труматик гермики'!D21</f>
        <v>---</v>
      </c>
      <c r="K21" s="389"/>
      <c r="L21" s="389" t="str">
        <f>'Труматик гермики'!E21</f>
        <v>--</v>
      </c>
      <c r="M21" s="389">
        <f>'Исходные данные'!K20</f>
        <v>0</v>
      </c>
      <c r="N21" s="390">
        <f>IF('Исходные данные'!O20="---",IF('Исходные данные'!P20="---",IF('Исходные данные'!Q20="---",0,"ВГ050.00.00.002"),"ВМ0114.01.00.002"),"ВМ 0113.01.00.002")</f>
        <v>0</v>
      </c>
      <c r="O21" s="389">
        <f>'Исходные данные'!G20</f>
        <v>0</v>
      </c>
      <c r="P21" s="391" t="str">
        <f>'Труматик гермики'!E22</f>
        <v>--</v>
      </c>
      <c r="Q21" s="389" t="str">
        <f>'Труматик гермики'!J21</f>
        <v>---</v>
      </c>
      <c r="R21" s="389">
        <f>'Исходные данные'!H20</f>
        <v>0</v>
      </c>
      <c r="S21" s="392" t="str">
        <f>IF(G21="Регуляр",'Исходные данные'!G20-4,"---")</f>
        <v>---</v>
      </c>
      <c r="T21" s="392" t="str">
        <f>IF(S21="---","---",'Исходные данные'!K20)</f>
        <v>---</v>
      </c>
      <c r="U21" s="389" t="str">
        <f>IF(S21="---","---",'Труматик гермики'!Q21)</f>
        <v>---</v>
      </c>
      <c r="V21" s="389" t="str">
        <f>IF(S21="---","---",U21*'Исходные данные'!H20)</f>
        <v>---</v>
      </c>
      <c r="W21" s="199" t="str">
        <f>IF('Исходные данные'!M20=1,"Комплект кожухов","---")</f>
        <v>---</v>
      </c>
      <c r="X21" s="393" t="str">
        <f>'Труматик гермики'!J21</f>
        <v>---</v>
      </c>
      <c r="Y21" s="393" t="str">
        <f>IF('Исходные данные'!L20=1,'Ножницы упор'!G21,IF('Исходные данные'!L20=2,'Ножницы упор'!G21,IF('Исходные данные'!L20=3,0,IF('Исходные данные'!L20=4,'Ножницы упор'!G21,"---"))))</f>
        <v>---</v>
      </c>
      <c r="Z21" s="393" t="str">
        <f>IF('Исходные данные'!L20=1,'Ножницы упор'!F21,IF('Исходные данные'!L20=2,'Ножницы упор'!F21,IF('Исходные данные'!L20=3,0,IF('Исходные данные'!L20=4,'Ножницы упор'!F21,"---"))))</f>
        <v>---</v>
      </c>
      <c r="AA21" s="393">
        <f>IF('Исходные данные'!M20=1,'Исходные данные'!H20*2,IF('Исходные данные'!M20=2,'Исходные данные'!H20*2,IF('Исходные данные'!M20=3,'Исходные данные'!H20*2,IF('Исходные данные'!M20=4,'Исходные данные'!H20*2,))))</f>
        <v>0</v>
      </c>
      <c r="AB21" s="393">
        <f>IF('Исходные данные'!L20=1,"ОЦ",IF('Исходные данные'!L20=2,"Нерж",IF('Исходные данные'!L20=3,"ОЦ",IF('Исходные данные'!L20=4,"краш",0))))</f>
        <v>0</v>
      </c>
      <c r="AC21" s="394">
        <v>14</v>
      </c>
      <c r="AD21" s="201">
        <v>0</v>
      </c>
      <c r="AE21" s="508"/>
      <c r="AF21" s="119"/>
      <c r="AG21" s="618"/>
    </row>
    <row r="22" spans="1:33" ht="21.75" customHeight="1">
      <c r="B22" s="614"/>
      <c r="C22" s="481"/>
      <c r="D22" s="483"/>
      <c r="E22" s="125">
        <f t="shared" si="0"/>
        <v>16</v>
      </c>
      <c r="F22" s="1">
        <f>'Исходные данные'!B21</f>
        <v>0</v>
      </c>
      <c r="G22" s="1">
        <f>'Исходные данные'!C21</f>
        <v>0</v>
      </c>
      <c r="H22" s="1">
        <f>'Исходные данные'!D21</f>
        <v>0</v>
      </c>
      <c r="I22" s="77">
        <f>IF('Исходные данные'!O21="---",IF('Исходные данные'!P21="---",IF('Исходные данные'!Q21="---",0,"ВГ050.00.00.001"),"ВМ0114.01.00.001"),"ВМ0113.01.00.001")</f>
        <v>0</v>
      </c>
      <c r="J22" s="389" t="str">
        <f>'Труматик гермики'!D22</f>
        <v>---</v>
      </c>
      <c r="K22" s="389"/>
      <c r="L22" s="389" t="str">
        <f>'Труматик гермики'!E22</f>
        <v>--</v>
      </c>
      <c r="M22" s="389">
        <f>'Исходные данные'!K21</f>
        <v>0</v>
      </c>
      <c r="N22" s="390">
        <f>IF('Исходные данные'!O21="---",IF('Исходные данные'!P21="---",IF('Исходные данные'!Q21="---",0,"ВГ050.00.00.002"),"ВМ0114.01.00.002"),"ВМ 0113.01.00.002")</f>
        <v>0</v>
      </c>
      <c r="O22" s="389">
        <f>'Исходные данные'!G21</f>
        <v>0</v>
      </c>
      <c r="P22" s="391" t="str">
        <f>'Труматик гермики'!E23</f>
        <v>--</v>
      </c>
      <c r="Q22" s="389" t="str">
        <f>'Труматик гермики'!J22</f>
        <v>---</v>
      </c>
      <c r="R22" s="389">
        <f>'Исходные данные'!H21</f>
        <v>0</v>
      </c>
      <c r="S22" s="392" t="str">
        <f>IF(G22="Регуляр",'Исходные данные'!G21-4,"---")</f>
        <v>---</v>
      </c>
      <c r="T22" s="392" t="str">
        <f>IF(S22="---","---",'Исходные данные'!K21)</f>
        <v>---</v>
      </c>
      <c r="U22" s="389" t="str">
        <f>IF(S22="---","---",'Труматик гермики'!Q22)</f>
        <v>---</v>
      </c>
      <c r="V22" s="389" t="str">
        <f>IF(S22="---","---",U22*'Исходные данные'!H21)</f>
        <v>---</v>
      </c>
      <c r="W22" s="199" t="str">
        <f>IF('Исходные данные'!M21=1,"Комплект кожухов","---")</f>
        <v>---</v>
      </c>
      <c r="X22" s="393" t="str">
        <f>'Труматик гермики'!J22</f>
        <v>---</v>
      </c>
      <c r="Y22" s="393" t="str">
        <f>IF('Исходные данные'!L21=1,'Ножницы упор'!G22,IF('Исходные данные'!L21=2,'Ножницы упор'!G22,IF('Исходные данные'!L21=3,0,IF('Исходные данные'!L21=4,'Ножницы упор'!G22,"---"))))</f>
        <v>---</v>
      </c>
      <c r="Z22" s="393" t="str">
        <f>IF('Исходные данные'!L21=1,'Ножницы упор'!F22,IF('Исходные данные'!L21=2,'Ножницы упор'!F22,IF('Исходные данные'!L21=3,0,IF('Исходные данные'!L21=4,'Ножницы упор'!F22,"---"))))</f>
        <v>---</v>
      </c>
      <c r="AA22" s="393">
        <f>IF('Исходные данные'!M21=1,'Исходные данные'!H21*2,IF('Исходные данные'!M21=2,'Исходные данные'!H21*2,IF('Исходные данные'!M21=3,'Исходные данные'!H21*2,IF('Исходные данные'!M21=4,'Исходные данные'!H21*2,))))</f>
        <v>0</v>
      </c>
      <c r="AB22" s="393">
        <f>IF('Исходные данные'!L21=1,"ОЦ",IF('Исходные данные'!L21=2,"Нерж",IF('Исходные данные'!L21=3,"ОЦ",IF('Исходные данные'!L21=4,"краш",0))))</f>
        <v>0</v>
      </c>
      <c r="AC22" s="394">
        <v>15</v>
      </c>
      <c r="AD22" s="201">
        <v>0</v>
      </c>
      <c r="AE22" s="508"/>
      <c r="AF22" s="119"/>
      <c r="AG22" s="618"/>
    </row>
    <row r="23" spans="1:33" ht="21.75" customHeight="1">
      <c r="B23" s="614"/>
      <c r="C23" s="481"/>
      <c r="D23" s="483"/>
      <c r="E23" s="125">
        <f t="shared" si="0"/>
        <v>17</v>
      </c>
      <c r="F23" s="1">
        <f>'Исходные данные'!B22</f>
        <v>0</v>
      </c>
      <c r="G23" s="1">
        <f>'Исходные данные'!C22</f>
        <v>0</v>
      </c>
      <c r="H23" s="1">
        <f>'Исходные данные'!D22</f>
        <v>0</v>
      </c>
      <c r="I23" s="77">
        <f>IF('Исходные данные'!O22="---",IF('Исходные данные'!P22="---",IF('Исходные данные'!Q22="---",0,"ВГ050.00.00.001"),"ВМ0114.01.00.001"),"ВМ0113.01.00.001")</f>
        <v>0</v>
      </c>
      <c r="J23" s="389" t="str">
        <f>'Труматик гермики'!D23</f>
        <v>---</v>
      </c>
      <c r="K23" s="389"/>
      <c r="L23" s="389" t="str">
        <f>'Труматик гермики'!E23</f>
        <v>--</v>
      </c>
      <c r="M23" s="389">
        <f>'Исходные данные'!K22</f>
        <v>0</v>
      </c>
      <c r="N23" s="390">
        <f>IF('Исходные данные'!O22="---",IF('Исходные данные'!P22="---",IF('Исходные данные'!Q22="---",0,"ВГ050.00.00.002"),"ВМ0114.01.00.002"),"ВМ 0113.01.00.002")</f>
        <v>0</v>
      </c>
      <c r="O23" s="389">
        <f>'Исходные данные'!G22</f>
        <v>0</v>
      </c>
      <c r="P23" s="391" t="str">
        <f>'Труматик гермики'!E24</f>
        <v>--</v>
      </c>
      <c r="Q23" s="389" t="str">
        <f>'Труматик гермики'!J23</f>
        <v>---</v>
      </c>
      <c r="R23" s="389">
        <f>'Исходные данные'!H22</f>
        <v>0</v>
      </c>
      <c r="S23" s="392" t="str">
        <f>IF(G23="Регуляр",'Исходные данные'!G22-4,"---")</f>
        <v>---</v>
      </c>
      <c r="T23" s="392" t="str">
        <f>IF(S23="---","---",'Исходные данные'!K22)</f>
        <v>---</v>
      </c>
      <c r="U23" s="389" t="str">
        <f>IF(S23="---","---",'Труматик гермики'!Q23)</f>
        <v>---</v>
      </c>
      <c r="V23" s="389" t="str">
        <f>IF(S23="---","---",U23*'Исходные данные'!H22)</f>
        <v>---</v>
      </c>
      <c r="W23" s="199" t="str">
        <f>IF('Исходные данные'!M22=1,"Комплект кожухов","---")</f>
        <v>---</v>
      </c>
      <c r="X23" s="393" t="str">
        <f>'Труматик гермики'!J23</f>
        <v>---</v>
      </c>
      <c r="Y23" s="393" t="str">
        <f>IF('Исходные данные'!L22=1,'Ножницы упор'!G23,IF('Исходные данные'!L22=2,'Ножницы упор'!G23,IF('Исходные данные'!L22=3,0,IF('Исходные данные'!L22=4,'Ножницы упор'!G23,"---"))))</f>
        <v>---</v>
      </c>
      <c r="Z23" s="393" t="str">
        <f>IF('Исходные данные'!L22=1,'Ножницы упор'!F23,IF('Исходные данные'!L22=2,'Ножницы упор'!F23,IF('Исходные данные'!L22=3,0,IF('Исходные данные'!L22=4,'Ножницы упор'!F23,"---"))))</f>
        <v>---</v>
      </c>
      <c r="AA23" s="393">
        <f>IF('Исходные данные'!M22=1,'Исходные данные'!H22*2,IF('Исходные данные'!M22=2,'Исходные данные'!H22*2,IF('Исходные данные'!M22=3,'Исходные данные'!H22*2,IF('Исходные данные'!M22=4,'Исходные данные'!H22*2,))))</f>
        <v>0</v>
      </c>
      <c r="AB23" s="393">
        <f>IF('Исходные данные'!L22=1,"ОЦ",IF('Исходные данные'!L22=2,"Нерж",IF('Исходные данные'!L22=3,"ОЦ",IF('Исходные данные'!L22=4,"краш",0))))</f>
        <v>0</v>
      </c>
      <c r="AC23" s="394">
        <v>16</v>
      </c>
      <c r="AD23" s="201">
        <v>0</v>
      </c>
      <c r="AE23" s="508"/>
      <c r="AF23" s="119"/>
      <c r="AG23" s="618"/>
    </row>
    <row r="24" spans="1:33" ht="21.75" customHeight="1">
      <c r="B24" s="614"/>
      <c r="C24" s="481"/>
      <c r="D24" s="483"/>
      <c r="E24" s="125">
        <f t="shared" si="0"/>
        <v>18</v>
      </c>
      <c r="F24" s="1">
        <f>'Исходные данные'!B23</f>
        <v>0</v>
      </c>
      <c r="G24" s="1">
        <f>'Исходные данные'!C23</f>
        <v>0</v>
      </c>
      <c r="H24" s="1">
        <f>'Исходные данные'!D23</f>
        <v>0</v>
      </c>
      <c r="I24" s="77">
        <f>IF('Исходные данные'!O23="---",IF('Исходные данные'!P23="---",IF('Исходные данные'!Q23="---",0,"ВГ050.00.00.001"),"ВМ0114.01.00.001"),"ВМ0113.01.00.001")</f>
        <v>0</v>
      </c>
      <c r="J24" s="389" t="str">
        <f>'Труматик гермики'!D24</f>
        <v>---</v>
      </c>
      <c r="K24" s="389"/>
      <c r="L24" s="389" t="str">
        <f>'Труматик гермики'!E24</f>
        <v>--</v>
      </c>
      <c r="M24" s="389">
        <f>'Исходные данные'!K23</f>
        <v>0</v>
      </c>
      <c r="N24" s="390">
        <f>IF('Исходные данные'!O23="---",IF('Исходные данные'!P23="---",IF('Исходные данные'!Q23="---",0,"ВГ050.00.00.002"),"ВМ0114.01.00.002"),"ВМ 0113.01.00.002")</f>
        <v>0</v>
      </c>
      <c r="O24" s="389">
        <f>'Исходные данные'!G23</f>
        <v>0</v>
      </c>
      <c r="P24" s="391" t="str">
        <f>'Труматик гермики'!E25</f>
        <v>--</v>
      </c>
      <c r="Q24" s="389" t="str">
        <f>'Труматик гермики'!J24</f>
        <v>---</v>
      </c>
      <c r="R24" s="389">
        <f>'Исходные данные'!H23</f>
        <v>0</v>
      </c>
      <c r="S24" s="392" t="str">
        <f>IF(G24="Регуляр",'Исходные данные'!G23-4,"---")</f>
        <v>---</v>
      </c>
      <c r="T24" s="392" t="str">
        <f>IF(S24="---","---",'Исходные данные'!K23)</f>
        <v>---</v>
      </c>
      <c r="U24" s="389" t="str">
        <f>IF(S24="---","---",'Труматик гермики'!Q24)</f>
        <v>---</v>
      </c>
      <c r="V24" s="389" t="str">
        <f>IF(S24="---","---",U24*'Исходные данные'!H23)</f>
        <v>---</v>
      </c>
      <c r="W24" s="199" t="str">
        <f>IF('Исходные данные'!M23=1,"Комплект кожухов","---")</f>
        <v>---</v>
      </c>
      <c r="X24" s="393" t="str">
        <f>'Труматик гермики'!J24</f>
        <v>---</v>
      </c>
      <c r="Y24" s="393" t="str">
        <f>IF('Исходные данные'!L23=1,'Ножницы упор'!G24,IF('Исходные данные'!L23=2,'Ножницы упор'!G24,IF('Исходные данные'!L23=3,0,IF('Исходные данные'!L23=4,'Ножницы упор'!G24,"---"))))</f>
        <v>---</v>
      </c>
      <c r="Z24" s="393" t="str">
        <f>IF('Исходные данные'!L23=1,'Ножницы упор'!F24,IF('Исходные данные'!L23=2,'Ножницы упор'!F24,IF('Исходные данные'!L23=3,0,IF('Исходные данные'!L23=4,'Ножницы упор'!F24,"---"))))</f>
        <v>---</v>
      </c>
      <c r="AA24" s="393">
        <f>IF('Исходные данные'!M23=1,'Исходные данные'!H23*2,IF('Исходные данные'!M23=2,'Исходные данные'!H23*2,IF('Исходные данные'!M23=3,'Исходные данные'!H23*2,IF('Исходные данные'!M23=4,'Исходные данные'!H23*2,))))</f>
        <v>0</v>
      </c>
      <c r="AB24" s="393">
        <f>IF('Исходные данные'!L23=1,"ОЦ",IF('Исходные данные'!L23=2,"Нерж",IF('Исходные данные'!L23=3,"ОЦ",IF('Исходные данные'!L23=4,"краш",0))))</f>
        <v>0</v>
      </c>
      <c r="AC24" s="394">
        <v>17</v>
      </c>
      <c r="AD24" s="201">
        <v>0</v>
      </c>
      <c r="AF24" s="119"/>
      <c r="AG24" s="618"/>
    </row>
    <row r="25" spans="1:33" ht="21.75" customHeight="1">
      <c r="B25" s="614"/>
      <c r="C25" s="481"/>
      <c r="D25" s="483"/>
      <c r="E25" s="125">
        <f>E24+1</f>
        <v>19</v>
      </c>
      <c r="F25" s="1">
        <f>'Исходные данные'!B24</f>
        <v>0</v>
      </c>
      <c r="G25" s="1">
        <f>'Исходные данные'!C24</f>
        <v>0</v>
      </c>
      <c r="H25" s="1">
        <f>'Исходные данные'!D24</f>
        <v>0</v>
      </c>
      <c r="I25" s="77">
        <f>IF('Исходные данные'!O24="---",IF('Исходные данные'!P24="---",IF('Исходные данные'!Q24="---",0,"ВГ050.00.00.001"),"ВМ0114.01.00.001"),"ВМ0113.01.00.001")</f>
        <v>0</v>
      </c>
      <c r="J25" s="389" t="str">
        <f>'Труматик гермики'!D25</f>
        <v>---</v>
      </c>
      <c r="K25" s="389"/>
      <c r="L25" s="389" t="str">
        <f>'Труматик гермики'!E25</f>
        <v>--</v>
      </c>
      <c r="M25" s="389">
        <f>'Исходные данные'!K24</f>
        <v>0</v>
      </c>
      <c r="N25" s="390">
        <f>IF('Исходные данные'!O24="---",IF('Исходные данные'!P24="---",IF('Исходные данные'!Q24="---",0,"ВГ050.00.00.002"),"ВМ0114.01.00.002"),"ВМ 0113.01.00.002")</f>
        <v>0</v>
      </c>
      <c r="O25" s="389">
        <f>'Исходные данные'!G24</f>
        <v>0</v>
      </c>
      <c r="P25" s="391" t="str">
        <f>'Труматик гермики'!E26</f>
        <v>--</v>
      </c>
      <c r="Q25" s="389" t="str">
        <f>'Труматик гермики'!J25</f>
        <v>---</v>
      </c>
      <c r="R25" s="389">
        <f>'Исходные данные'!H24</f>
        <v>0</v>
      </c>
      <c r="S25" s="392" t="str">
        <f>IF(G25="Регуляр",'Исходные данные'!G24-4,"---")</f>
        <v>---</v>
      </c>
      <c r="T25" s="392" t="str">
        <f>IF(S25="---","---",'Исходные данные'!K24)</f>
        <v>---</v>
      </c>
      <c r="U25" s="389" t="str">
        <f>IF(S25="---","---",'Труматик гермики'!Q25)</f>
        <v>---</v>
      </c>
      <c r="V25" s="389" t="str">
        <f>IF(S25="---","---",U25*'Исходные данные'!H24)</f>
        <v>---</v>
      </c>
      <c r="W25" s="199" t="str">
        <f>IF('Исходные данные'!M24=1,"Комплект кожухов","---")</f>
        <v>---</v>
      </c>
      <c r="X25" s="393" t="str">
        <f>'Труматик гермики'!J25</f>
        <v>---</v>
      </c>
      <c r="Y25" s="393" t="str">
        <f>IF('Исходные данные'!L24=1,'Ножницы упор'!G25,IF('Исходные данные'!L24=2,'Ножницы упор'!G25,IF('Исходные данные'!L24=3,0,IF('Исходные данные'!L24=4,'Ножницы упор'!G25,"---"))))</f>
        <v>---</v>
      </c>
      <c r="Z25" s="393" t="str">
        <f>IF('Исходные данные'!L24=1,'Ножницы упор'!F25,IF('Исходные данные'!L24=2,'Ножницы упор'!F25,IF('Исходные данные'!L24=3,0,IF('Исходные данные'!L24=4,'Ножницы упор'!F25,"---"))))</f>
        <v>---</v>
      </c>
      <c r="AA25" s="393">
        <f>IF('Исходные данные'!M24=1,'Исходные данные'!H24*2,IF('Исходные данные'!M24=2,'Исходные данные'!H24*2,IF('Исходные данные'!M24=3,'Исходные данные'!H24*2,IF('Исходные данные'!M24=4,'Исходные данные'!H24*2,))))</f>
        <v>0</v>
      </c>
      <c r="AB25" s="393">
        <f>IF('Исходные данные'!L24=1,"ОЦ",IF('Исходные данные'!L24=2,"Нерж",IF('Исходные данные'!L24=3,"ОЦ",IF('Исходные данные'!L24=4,"краш",0))))</f>
        <v>0</v>
      </c>
      <c r="AC25" s="394">
        <v>18</v>
      </c>
      <c r="AD25" s="201">
        <v>0</v>
      </c>
    </row>
    <row r="26" spans="1:33" ht="21.75" customHeight="1">
      <c r="A26" s="482" t="s">
        <v>242</v>
      </c>
      <c r="B26" s="614"/>
      <c r="C26" s="481"/>
      <c r="D26" s="483"/>
      <c r="E26" s="125">
        <f>E25+1</f>
        <v>20</v>
      </c>
      <c r="F26" s="1">
        <f>'Исходные данные'!B25</f>
        <v>0</v>
      </c>
      <c r="G26" s="1">
        <f>'Исходные данные'!C25</f>
        <v>0</v>
      </c>
      <c r="H26" s="1">
        <f>'Исходные данные'!D25</f>
        <v>0</v>
      </c>
      <c r="I26" s="77">
        <f>IF('Исходные данные'!O25="---",IF('Исходные данные'!P25="---",IF('Исходные данные'!Q25="---",0,"ВГ050.00.00.001"),"ВМ0114.01.00.001"),"ВМ0113.01.00.001")</f>
        <v>0</v>
      </c>
      <c r="J26" s="389" t="str">
        <f>'Труматик гермики'!D26</f>
        <v>---</v>
      </c>
      <c r="K26" s="389"/>
      <c r="L26" s="389" t="str">
        <f>'Труматик гермики'!E26</f>
        <v>--</v>
      </c>
      <c r="M26" s="389">
        <f>'Исходные данные'!K25</f>
        <v>0</v>
      </c>
      <c r="N26" s="390">
        <f>IF('Исходные данные'!O25="---",IF('Исходные данные'!P25="---",IF('Исходные данные'!Q25="---",0,"ВГ050.00.00.002"),"ВМ0114.01.00.002"),"ВМ 0113.01.00.002")</f>
        <v>0</v>
      </c>
      <c r="O26" s="389">
        <f>'Исходные данные'!G25</f>
        <v>0</v>
      </c>
      <c r="P26" s="391" t="str">
        <f>'Труматик гермики'!E27</f>
        <v>--</v>
      </c>
      <c r="Q26" s="389" t="str">
        <f>'Труматик гермики'!J26</f>
        <v>---</v>
      </c>
      <c r="R26" s="389">
        <f>'Исходные данные'!H25</f>
        <v>0</v>
      </c>
      <c r="S26" s="392" t="str">
        <f>IF(G26="Регуляр",'Исходные данные'!G25-4,"---")</f>
        <v>---</v>
      </c>
      <c r="T26" s="392" t="str">
        <f>IF(S26="---","---",'Исходные данные'!K25)</f>
        <v>---</v>
      </c>
      <c r="U26" s="389" t="str">
        <f>IF(S26="---","---",'Труматик гермики'!Q26)</f>
        <v>---</v>
      </c>
      <c r="V26" s="389" t="str">
        <f>IF(S26="---","---",U26*'Исходные данные'!H25)</f>
        <v>---</v>
      </c>
      <c r="W26" s="199" t="str">
        <f>IF('Исходные данные'!M25=1,"Комплект кожухов","---")</f>
        <v>---</v>
      </c>
      <c r="X26" s="393" t="str">
        <f>'Труматик гермики'!J26</f>
        <v>---</v>
      </c>
      <c r="Y26" s="393" t="str">
        <f>IF('Исходные данные'!L25=1,'Ножницы упор'!G26,IF('Исходные данные'!L25=2,'Ножницы упор'!G26,IF('Исходные данные'!L25=3,0,IF('Исходные данные'!L25=4,'Ножницы упор'!G26,"---"))))</f>
        <v>---</v>
      </c>
      <c r="Z26" s="393" t="str">
        <f>IF('Исходные данные'!L25=1,'Ножницы упор'!F26,IF('Исходные данные'!L25=2,'Ножницы упор'!F26,IF('Исходные данные'!L25=3,0,IF('Исходные данные'!L25=4,'Ножницы упор'!F26,"---"))))</f>
        <v>---</v>
      </c>
      <c r="AA26" s="393">
        <f>IF('Исходные данные'!M25=1,'Исходные данные'!H25*2,IF('Исходные данные'!M25=2,'Исходные данные'!H25*2,IF('Исходные данные'!M25=3,'Исходные данные'!H25*2,IF('Исходные данные'!M25=4,'Исходные данные'!H25*2,))))</f>
        <v>0</v>
      </c>
      <c r="AB26" s="393">
        <f>IF('Исходные данные'!L25=1,"ОЦ",IF('Исходные данные'!L25=2,"Нерж",IF('Исходные данные'!L25=3,"ОЦ",IF('Исходные данные'!L25=4,"краш",0))))</f>
        <v>0</v>
      </c>
      <c r="AC26" s="394">
        <v>19</v>
      </c>
      <c r="AD26" s="201">
        <v>0</v>
      </c>
    </row>
    <row r="27" spans="1:33" ht="21.75" customHeight="1" thickBot="1">
      <c r="A27" s="482"/>
      <c r="B27" s="614"/>
      <c r="C27" s="481"/>
      <c r="D27" s="483"/>
      <c r="E27" s="126">
        <f>E26+1</f>
        <v>21</v>
      </c>
      <c r="F27" s="127">
        <f>'Исходные данные'!B26</f>
        <v>0</v>
      </c>
      <c r="G27" s="127">
        <f>'Исходные данные'!C26</f>
        <v>0</v>
      </c>
      <c r="H27" s="127">
        <f>'Исходные данные'!D26</f>
        <v>0</v>
      </c>
      <c r="I27" s="124">
        <f>IF('Исходные данные'!O26="---",IF('Исходные данные'!P26="---",IF('Исходные данные'!Q26="---",0,"ВГ050.00.00.001"),"ВМ0114.01.00.001"),"ВМ0113.01.00.001")</f>
        <v>0</v>
      </c>
      <c r="J27" s="389" t="str">
        <f>'Труматик гермики'!D27</f>
        <v>---</v>
      </c>
      <c r="K27" s="389"/>
      <c r="L27" s="389" t="str">
        <f>'Труматик гермики'!E27</f>
        <v>--</v>
      </c>
      <c r="M27" s="389">
        <f>'Исходные данные'!K26</f>
        <v>0</v>
      </c>
      <c r="N27" s="390">
        <f>IF('Исходные данные'!O26="---",IF('Исходные данные'!P26="---",IF('Исходные данные'!Q26="---",0,"ВГ050.00.00.002"),"ВМ0114.01.00.002"),"ВМ 0113.01.00.002")</f>
        <v>0</v>
      </c>
      <c r="O27" s="389">
        <f>'Исходные данные'!G26</f>
        <v>0</v>
      </c>
      <c r="P27" s="391">
        <f>'Труматик гермики'!E28</f>
        <v>0</v>
      </c>
      <c r="Q27" s="389" t="str">
        <f>'Труматик гермики'!J27</f>
        <v>---</v>
      </c>
      <c r="R27" s="389">
        <f>'Исходные данные'!H26</f>
        <v>0</v>
      </c>
      <c r="S27" s="392" t="str">
        <f>IF(G27="Регуляр",'Исходные данные'!G26-4,"---")</f>
        <v>---</v>
      </c>
      <c r="T27" s="392" t="str">
        <f>IF(S27="---","---",'Исходные данные'!K26)</f>
        <v>---</v>
      </c>
      <c r="U27" s="389" t="str">
        <f>IF(S27="---","---",'Труматик гермики'!Q27)</f>
        <v>---</v>
      </c>
      <c r="V27" s="389" t="str">
        <f>IF(S27="---","---",U27*'Исходные данные'!H26)</f>
        <v>---</v>
      </c>
      <c r="W27" s="199" t="str">
        <f>IF('Исходные данные'!M26=1,"Комплект кожухов","---")</f>
        <v>---</v>
      </c>
      <c r="X27" s="393" t="str">
        <f>'Труматик гермики'!J27</f>
        <v>---</v>
      </c>
      <c r="Y27" s="393" t="str">
        <f>IF('Исходные данные'!L26=1,'Ножницы упор'!G27,IF('Исходные данные'!L26=2,'Ножницы упор'!G27,IF('Исходные данные'!L26=3,0,IF('Исходные данные'!L26=4,'Ножницы упор'!G27,"---"))))</f>
        <v>---</v>
      </c>
      <c r="Z27" s="393" t="str">
        <f>IF('Исходные данные'!L26=1,'Ножницы упор'!F27,IF('Исходные данные'!L26=2,'Ножницы упор'!F27,IF('Исходные данные'!L26=3,0,IF('Исходные данные'!L26=4,'Ножницы упор'!F27,"---"))))</f>
        <v>---</v>
      </c>
      <c r="AA27" s="393">
        <f>IF('Исходные данные'!M26=1,'Исходные данные'!H26*2,IF('Исходные данные'!M26=2,'Исходные данные'!H26*2,IF('Исходные данные'!M26=3,'Исходные данные'!H26*2,IF('Исходные данные'!M26=4,'Исходные данные'!H26*2,))))</f>
        <v>0</v>
      </c>
      <c r="AB27" s="393">
        <f>IF('Исходные данные'!L26=1,"ОЦ",IF('Исходные данные'!L26=2,"Нерж",IF('Исходные данные'!L26=3,"ОЦ",IF('Исходные данные'!L26=4,"краш",0))))</f>
        <v>0</v>
      </c>
      <c r="AC27" s="394">
        <v>20</v>
      </c>
      <c r="AD27" s="201">
        <v>0</v>
      </c>
    </row>
    <row r="28" spans="1:33" ht="19.5" thickBot="1">
      <c r="A28" s="482"/>
      <c r="B28" s="614"/>
      <c r="C28" s="481"/>
      <c r="D28" s="483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33" ht="19.5" customHeight="1" thickBot="1">
      <c r="A29" s="482"/>
      <c r="B29" s="614"/>
      <c r="C29" s="481"/>
      <c r="D29" s="483"/>
      <c r="E29" s="613" t="s">
        <v>233</v>
      </c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13"/>
      <c r="Q29" s="613"/>
      <c r="R29" s="573" t="s">
        <v>238</v>
      </c>
      <c r="S29" s="573"/>
      <c r="T29" s="613" t="s">
        <v>234</v>
      </c>
      <c r="U29" s="613"/>
      <c r="V29" s="613" t="s">
        <v>38</v>
      </c>
      <c r="W29" s="613"/>
      <c r="X29" s="613" t="s">
        <v>235</v>
      </c>
      <c r="Y29" s="613"/>
      <c r="Z29" s="273"/>
      <c r="AA29" s="167"/>
    </row>
    <row r="30" spans="1:33" ht="48" customHeight="1">
      <c r="A30" s="482"/>
      <c r="B30" s="614"/>
      <c r="C30" s="481"/>
      <c r="D30" s="483"/>
      <c r="E30" s="616"/>
      <c r="F30" s="617"/>
      <c r="G30" s="617"/>
      <c r="H30" s="617"/>
      <c r="I30" s="617"/>
      <c r="J30" s="617"/>
      <c r="K30" s="617"/>
      <c r="L30" s="617"/>
      <c r="M30" s="617"/>
      <c r="N30" s="617"/>
      <c r="O30" s="617"/>
      <c r="P30" s="617"/>
      <c r="Q30" s="617"/>
      <c r="R30" s="596"/>
      <c r="S30" s="597"/>
      <c r="T30" s="596"/>
      <c r="U30" s="597"/>
      <c r="V30" s="608"/>
      <c r="W30" s="608"/>
      <c r="X30" s="141"/>
      <c r="Y30" s="207"/>
      <c r="Z30" s="167"/>
      <c r="AA30" s="167"/>
    </row>
    <row r="31" spans="1:33" ht="46.5" customHeight="1">
      <c r="A31" s="482"/>
      <c r="B31" s="614"/>
      <c r="C31" s="481"/>
      <c r="D31" s="483"/>
      <c r="E31" s="598"/>
      <c r="F31" s="599"/>
      <c r="G31" s="599"/>
      <c r="H31" s="599"/>
      <c r="I31" s="599"/>
      <c r="J31" s="599"/>
      <c r="K31" s="599"/>
      <c r="L31" s="599"/>
      <c r="M31" s="599"/>
      <c r="N31" s="599"/>
      <c r="O31" s="599"/>
      <c r="P31" s="599"/>
      <c r="Q31" s="599"/>
      <c r="R31" s="586"/>
      <c r="S31" s="587"/>
      <c r="T31" s="586"/>
      <c r="U31" s="587"/>
      <c r="V31" s="456"/>
      <c r="W31" s="456"/>
      <c r="X31" s="176"/>
      <c r="Y31" s="209"/>
      <c r="Z31" s="167"/>
      <c r="AA31" s="150"/>
    </row>
    <row r="32" spans="1:33" ht="43.5" customHeight="1">
      <c r="A32" s="482"/>
      <c r="B32" s="614"/>
      <c r="C32" s="481"/>
      <c r="D32" s="483"/>
      <c r="E32" s="598"/>
      <c r="F32" s="599"/>
      <c r="G32" s="599"/>
      <c r="H32" s="599"/>
      <c r="I32" s="599"/>
      <c r="J32" s="599"/>
      <c r="K32" s="599"/>
      <c r="L32" s="599"/>
      <c r="M32" s="599"/>
      <c r="N32" s="599"/>
      <c r="O32" s="599"/>
      <c r="P32" s="599"/>
      <c r="Q32" s="599"/>
      <c r="R32" s="586"/>
      <c r="S32" s="587"/>
      <c r="T32" s="586"/>
      <c r="U32" s="587"/>
      <c r="V32" s="456"/>
      <c r="W32" s="456"/>
      <c r="X32" s="176"/>
      <c r="Y32" s="209"/>
      <c r="Z32" s="167"/>
      <c r="AA32" s="150"/>
    </row>
    <row r="33" spans="1:28" ht="42.75" customHeight="1">
      <c r="A33" s="482"/>
      <c r="B33" s="614"/>
      <c r="C33" s="481"/>
      <c r="D33" s="483"/>
      <c r="E33" s="598"/>
      <c r="F33" s="599"/>
      <c r="G33" s="599"/>
      <c r="H33" s="599"/>
      <c r="I33" s="599"/>
      <c r="J33" s="599"/>
      <c r="K33" s="599"/>
      <c r="L33" s="599"/>
      <c r="M33" s="599"/>
      <c r="N33" s="599"/>
      <c r="O33" s="599"/>
      <c r="P33" s="599"/>
      <c r="Q33" s="599"/>
      <c r="R33" s="586"/>
      <c r="S33" s="587"/>
      <c r="T33" s="586"/>
      <c r="U33" s="587"/>
      <c r="V33" s="456"/>
      <c r="W33" s="456"/>
      <c r="X33" s="176"/>
      <c r="Y33" s="209"/>
      <c r="Z33" s="167"/>
      <c r="AA33" s="150"/>
    </row>
    <row r="34" spans="1:28" ht="44.25" customHeight="1">
      <c r="A34" s="482"/>
      <c r="B34" s="614"/>
      <c r="C34" s="481"/>
      <c r="D34" s="483"/>
      <c r="E34" s="598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86"/>
      <c r="S34" s="587"/>
      <c r="T34" s="586"/>
      <c r="U34" s="587"/>
      <c r="V34" s="456"/>
      <c r="W34" s="456"/>
      <c r="X34" s="176"/>
      <c r="Y34" s="209"/>
      <c r="Z34" s="167"/>
      <c r="AA34" s="150"/>
    </row>
    <row r="35" spans="1:28" ht="45.75" customHeight="1">
      <c r="A35" s="482"/>
      <c r="B35" s="614"/>
      <c r="C35" s="481"/>
      <c r="D35" s="483"/>
      <c r="E35" s="598"/>
      <c r="F35" s="599"/>
      <c r="G35" s="599"/>
      <c r="H35" s="599"/>
      <c r="I35" s="599"/>
      <c r="J35" s="599"/>
      <c r="K35" s="599"/>
      <c r="L35" s="599"/>
      <c r="M35" s="599"/>
      <c r="N35" s="599"/>
      <c r="O35" s="599"/>
      <c r="P35" s="599"/>
      <c r="Q35" s="599"/>
      <c r="R35" s="586"/>
      <c r="S35" s="587"/>
      <c r="T35" s="586"/>
      <c r="U35" s="587"/>
      <c r="V35" s="456"/>
      <c r="W35" s="456"/>
      <c r="X35" s="176"/>
      <c r="Y35" s="209"/>
      <c r="Z35" s="167"/>
      <c r="AA35" s="150"/>
    </row>
    <row r="36" spans="1:28" ht="46.5" customHeight="1">
      <c r="A36" s="482"/>
      <c r="B36" s="614"/>
      <c r="C36" s="481"/>
      <c r="D36" s="483"/>
      <c r="E36" s="598"/>
      <c r="F36" s="599"/>
      <c r="G36" s="599"/>
      <c r="H36" s="599"/>
      <c r="I36" s="599"/>
      <c r="J36" s="599"/>
      <c r="K36" s="599"/>
      <c r="L36" s="599"/>
      <c r="M36" s="599"/>
      <c r="N36" s="599"/>
      <c r="O36" s="599"/>
      <c r="P36" s="599"/>
      <c r="Q36" s="599"/>
      <c r="R36" s="586"/>
      <c r="S36" s="587"/>
      <c r="T36" s="586"/>
      <c r="U36" s="587"/>
      <c r="V36" s="456"/>
      <c r="W36" s="456"/>
      <c r="X36" s="176"/>
      <c r="Y36" s="209"/>
      <c r="Z36" s="167"/>
      <c r="AA36" s="150"/>
    </row>
    <row r="37" spans="1:28" ht="39" customHeight="1">
      <c r="A37" s="482"/>
      <c r="B37" s="614"/>
      <c r="C37" s="481"/>
      <c r="D37" s="483"/>
      <c r="E37" s="598"/>
      <c r="F37" s="599"/>
      <c r="G37" s="599"/>
      <c r="H37" s="599"/>
      <c r="I37" s="599"/>
      <c r="J37" s="599"/>
      <c r="K37" s="599"/>
      <c r="L37" s="599"/>
      <c r="M37" s="599"/>
      <c r="N37" s="599"/>
      <c r="O37" s="599"/>
      <c r="P37" s="599"/>
      <c r="Q37" s="599"/>
      <c r="R37" s="586"/>
      <c r="S37" s="587"/>
      <c r="T37" s="586"/>
      <c r="U37" s="587"/>
      <c r="V37" s="456"/>
      <c r="W37" s="456"/>
      <c r="X37" s="176"/>
      <c r="Y37" s="209"/>
      <c r="Z37" s="167"/>
      <c r="AA37" s="150"/>
    </row>
    <row r="38" spans="1:28" ht="42.75" customHeight="1">
      <c r="E38" s="598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86"/>
      <c r="S38" s="587"/>
      <c r="T38" s="586"/>
      <c r="U38" s="587"/>
      <c r="V38" s="456"/>
      <c r="W38" s="456"/>
      <c r="X38" s="176"/>
      <c r="Y38" s="209"/>
      <c r="Z38" s="167"/>
      <c r="AA38" s="150"/>
    </row>
    <row r="39" spans="1:28" ht="39.75" customHeight="1" thickBot="1">
      <c r="E39" s="590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88"/>
      <c r="S39" s="589"/>
      <c r="T39" s="588"/>
      <c r="U39" s="589"/>
      <c r="V39" s="585"/>
      <c r="W39" s="585"/>
      <c r="X39" s="92"/>
      <c r="Y39" s="210"/>
      <c r="Z39" s="167"/>
      <c r="AA39" s="150"/>
    </row>
    <row r="40" spans="1:28" ht="15.75" thickBot="1">
      <c r="E40" s="18"/>
      <c r="F40" s="181"/>
      <c r="G40" s="181"/>
      <c r="H40" s="181"/>
      <c r="I40" s="182"/>
      <c r="J40" s="182"/>
      <c r="K40" s="182"/>
      <c r="L40" s="181"/>
      <c r="M40" s="592"/>
      <c r="N40" s="592"/>
      <c r="O40" s="593"/>
      <c r="P40" s="594" t="s">
        <v>236</v>
      </c>
      <c r="Q40" s="595"/>
      <c r="R40" s="600"/>
      <c r="S40" s="601"/>
      <c r="T40" s="181"/>
      <c r="U40" s="181"/>
      <c r="V40" s="18"/>
      <c r="W40" s="18"/>
      <c r="X40" s="18"/>
      <c r="Y40" s="18"/>
      <c r="Z40" s="18"/>
      <c r="AA40" s="18"/>
      <c r="AB40" s="18"/>
    </row>
    <row r="41" spans="1:28">
      <c r="E41" s="18"/>
      <c r="F41" s="181"/>
      <c r="G41" s="181"/>
      <c r="H41" s="181"/>
      <c r="I41" s="182"/>
      <c r="J41" s="182"/>
      <c r="K41" s="182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"/>
      <c r="W41" s="18"/>
      <c r="X41" s="18"/>
      <c r="Y41" s="18"/>
      <c r="Z41" s="18"/>
      <c r="AA41" s="18"/>
      <c r="AB41" s="18"/>
    </row>
    <row r="42" spans="1:28" ht="33" hidden="1" customHeight="1">
      <c r="D42" s="264"/>
      <c r="E42" s="18"/>
      <c r="F42" s="18"/>
      <c r="H42" s="18"/>
      <c r="I42" s="89"/>
      <c r="J42" s="89"/>
      <c r="K42" s="89"/>
      <c r="L42" s="89"/>
      <c r="M42" s="89"/>
      <c r="N42" s="18"/>
      <c r="O42" s="265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22.5" hidden="1">
      <c r="C43" s="271"/>
      <c r="D43" s="271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271"/>
    </row>
    <row r="44" spans="1:28" ht="22.5" hidden="1">
      <c r="C44" s="271"/>
      <c r="D44" s="271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271"/>
    </row>
    <row r="45" spans="1:28" ht="22.5">
      <c r="C45" s="271"/>
      <c r="D45" s="271" t="s">
        <v>326</v>
      </c>
      <c r="E45" s="271"/>
      <c r="F45" s="271"/>
      <c r="G45" s="271"/>
      <c r="H45" s="271" t="s">
        <v>327</v>
      </c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</row>
    <row r="46" spans="1:28" ht="22.5"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69" t="s">
        <v>325</v>
      </c>
      <c r="P46" s="271"/>
      <c r="Q46" s="271"/>
      <c r="R46" s="271"/>
      <c r="S46" s="271"/>
      <c r="T46" s="271"/>
      <c r="U46" s="271"/>
    </row>
    <row r="47" spans="1:28" ht="22.5">
      <c r="C47" s="271"/>
      <c r="D47" s="271"/>
      <c r="E47" s="114"/>
      <c r="F47" s="114"/>
      <c r="G47" s="114"/>
      <c r="H47" s="114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</row>
    <row r="48" spans="1:28">
      <c r="E48" s="18"/>
      <c r="F48" s="18"/>
      <c r="G48" s="18"/>
      <c r="H48" s="18"/>
    </row>
    <row r="49" spans="5:8">
      <c r="E49" s="18"/>
      <c r="F49" s="18"/>
      <c r="G49" s="18"/>
      <c r="H49" s="18"/>
    </row>
    <row r="50" spans="5:8">
      <c r="E50" s="18"/>
      <c r="F50" s="18"/>
      <c r="G50" s="18"/>
      <c r="H50" s="18"/>
    </row>
  </sheetData>
  <sheetProtection formatCells="0" formatColumns="0" formatRows="0" insertColumns="0" insertRows="0" insertHyperlinks="0" deleteColumns="0" deleteRows="0" sort="0" autoFilter="0" pivotTables="0"/>
  <mergeCells count="66">
    <mergeCell ref="AF10:AF19"/>
    <mergeCell ref="AG12:AG14"/>
    <mergeCell ref="AG16:AG24"/>
    <mergeCell ref="AE18:AE23"/>
    <mergeCell ref="AE6:AE16"/>
    <mergeCell ref="AF4:AF7"/>
    <mergeCell ref="A26:A37"/>
    <mergeCell ref="B9:B37"/>
    <mergeCell ref="C17:C37"/>
    <mergeCell ref="D17:D37"/>
    <mergeCell ref="I5:J5"/>
    <mergeCell ref="E32:Q32"/>
    <mergeCell ref="E33:Q33"/>
    <mergeCell ref="E34:Q34"/>
    <mergeCell ref="E35:Q35"/>
    <mergeCell ref="E36:Q36"/>
    <mergeCell ref="E37:Q37"/>
    <mergeCell ref="B5:C8"/>
    <mergeCell ref="E29:Q29"/>
    <mergeCell ref="E30:Q30"/>
    <mergeCell ref="E31:Q31"/>
    <mergeCell ref="F4:AD4"/>
    <mergeCell ref="N5:O5"/>
    <mergeCell ref="Y5:AA5"/>
    <mergeCell ref="V30:W30"/>
    <mergeCell ref="V31:W31"/>
    <mergeCell ref="AC5:AD5"/>
    <mergeCell ref="U5:U6"/>
    <mergeCell ref="V5:V6"/>
    <mergeCell ref="V29:W29"/>
    <mergeCell ref="X29:Y29"/>
    <mergeCell ref="T29:U29"/>
    <mergeCell ref="T30:U30"/>
    <mergeCell ref="T31:U31"/>
    <mergeCell ref="E39:Q39"/>
    <mergeCell ref="M40:O40"/>
    <mergeCell ref="P40:Q40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E38:Q38"/>
    <mergeCell ref="R40:S40"/>
    <mergeCell ref="V39:W39"/>
    <mergeCell ref="T32:U32"/>
    <mergeCell ref="T33:U33"/>
    <mergeCell ref="V32:W32"/>
    <mergeCell ref="V33:W33"/>
    <mergeCell ref="T34:U34"/>
    <mergeCell ref="T35:U35"/>
    <mergeCell ref="T36:U36"/>
    <mergeCell ref="T37:U37"/>
    <mergeCell ref="T38:U38"/>
    <mergeCell ref="T39:U39"/>
    <mergeCell ref="V34:W34"/>
    <mergeCell ref="V35:W35"/>
    <mergeCell ref="V36:W36"/>
    <mergeCell ref="V37:W37"/>
    <mergeCell ref="V38:W38"/>
  </mergeCells>
  <pageMargins left="0.39370078740157483" right="0.19685039370078741" top="0.19685039370078741" bottom="0.19685039370078741" header="0.31496062992125984" footer="0.31496062992125984"/>
  <pageSetup paperSize="9" scale="4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10</vt:i4>
      </vt:variant>
    </vt:vector>
  </HeadingPairs>
  <TitlesOfParts>
    <vt:vector size="23" baseType="lpstr">
      <vt:lpstr>Исходные данные</vt:lpstr>
      <vt:lpstr>Труматик гермики</vt:lpstr>
      <vt:lpstr>Ножницы стенка</vt:lpstr>
      <vt:lpstr>Ножницы кожух</vt:lpstr>
      <vt:lpstr>Задание Ножницы лента</vt:lpstr>
      <vt:lpstr>Ножницы упор</vt:lpstr>
      <vt:lpstr>Задание на гибку</vt:lpstr>
      <vt:lpstr>Задание на резку</vt:lpstr>
      <vt:lpstr>Задание на Trumpf</vt:lpstr>
      <vt:lpstr>Комплектовочный лист</vt:lpstr>
      <vt:lpstr>Программист</vt:lpstr>
      <vt:lpstr>Справочные</vt:lpstr>
      <vt:lpstr>reg_table</vt:lpstr>
      <vt:lpstr>'Задание на Trumpf'!Область_печати</vt:lpstr>
      <vt:lpstr>'Задание на гибку'!Область_печати</vt:lpstr>
      <vt:lpstr>'Задание на резку'!Область_печати</vt:lpstr>
      <vt:lpstr>'Задание Ножницы лента'!Область_печати</vt:lpstr>
      <vt:lpstr>'Комплектовочный лист'!Область_печати</vt:lpstr>
      <vt:lpstr>'Ножницы кожух'!Область_печати</vt:lpstr>
      <vt:lpstr>'Ножницы стенка'!Область_печати</vt:lpstr>
      <vt:lpstr>'Ножницы упор'!Область_печати</vt:lpstr>
      <vt:lpstr>'Труматик гермики'!Область_печати</vt:lpstr>
      <vt:lpstr>Трудоемкость_от_гибов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</dc:creator>
  <cp:lastModifiedBy>kondratenkosa</cp:lastModifiedBy>
  <cp:lastPrinted>2013-11-07T05:00:42Z</cp:lastPrinted>
  <dcterms:created xsi:type="dcterms:W3CDTF">2010-10-26T08:21:11Z</dcterms:created>
  <dcterms:modified xsi:type="dcterms:W3CDTF">2014-03-12T01:34:03Z</dcterms:modified>
</cp:coreProperties>
</file>