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320" windowHeight="9915"/>
  </bookViews>
  <sheets>
    <sheet name="Исх данные" sheetId="12" r:id="rId1"/>
    <sheet name="корпус" sheetId="13" state="hidden" r:id="rId2"/>
    <sheet name="хол корп" sheetId="16" state="hidden" r:id="rId3"/>
    <sheet name="Сетка" sheetId="14" state="hidden" r:id="rId4"/>
    <sheet name="МРП-МРЗ" sheetId="15" state="hidden" r:id="rId5"/>
    <sheet name="Ножницы" sheetId="11" state="hidden" r:id="rId6"/>
    <sheet name="р 25 " sheetId="10" state="hidden" r:id="rId7"/>
    <sheet name="TRUMPF" sheetId="17" r:id="rId8"/>
    <sheet name="Гибка" sheetId="18" r:id="rId9"/>
    <sheet name="Комплектовочный" sheetId="19" r:id="rId10"/>
    <sheet name="Нормы" sheetId="20" r:id="rId11"/>
  </sheets>
  <definedNames>
    <definedName name="_xlnm.Print_Area" localSheetId="5">Ножницы!$A$1:$K$48</definedName>
    <definedName name="_xlnm.Print_Area" localSheetId="6">'р 25 '!$B$2:$M$42</definedName>
    <definedName name="_xlnm.Print_Area" localSheetId="2">'хол корп'!$A$1:$J$46</definedName>
  </definedNames>
  <calcPr calcId="124519"/>
</workbook>
</file>

<file path=xl/calcChain.xml><?xml version="1.0" encoding="utf-8"?>
<calcChain xmlns="http://schemas.openxmlformats.org/spreadsheetml/2006/main">
  <c r="F8" i="18"/>
  <c r="H8"/>
  <c r="I8"/>
  <c r="K8"/>
  <c r="N8"/>
  <c r="R8"/>
  <c r="F9"/>
  <c r="H9"/>
  <c r="I9"/>
  <c r="K9"/>
  <c r="N9"/>
  <c r="R9"/>
  <c r="F10"/>
  <c r="H10"/>
  <c r="I10"/>
  <c r="K10"/>
  <c r="N10"/>
  <c r="R10"/>
  <c r="F11"/>
  <c r="H11"/>
  <c r="I11"/>
  <c r="K11"/>
  <c r="N11"/>
  <c r="R11"/>
  <c r="F12"/>
  <c r="H12"/>
  <c r="I12"/>
  <c r="K12"/>
  <c r="N12"/>
  <c r="R12"/>
  <c r="F13"/>
  <c r="H13"/>
  <c r="I13"/>
  <c r="K13"/>
  <c r="N13"/>
  <c r="R13"/>
  <c r="F14"/>
  <c r="H14"/>
  <c r="I14"/>
  <c r="K14"/>
  <c r="N14"/>
  <c r="R14"/>
  <c r="F15"/>
  <c r="H15"/>
  <c r="I15"/>
  <c r="K15"/>
  <c r="N15"/>
  <c r="R15"/>
  <c r="F16"/>
  <c r="H16"/>
  <c r="I16"/>
  <c r="K16"/>
  <c r="N16"/>
  <c r="R16"/>
  <c r="F17"/>
  <c r="H17"/>
  <c r="I17"/>
  <c r="K17"/>
  <c r="N17"/>
  <c r="R17"/>
  <c r="F18"/>
  <c r="H18"/>
  <c r="I18"/>
  <c r="K18"/>
  <c r="N18"/>
  <c r="R18"/>
  <c r="F19"/>
  <c r="H19"/>
  <c r="I19"/>
  <c r="K19"/>
  <c r="N19"/>
  <c r="R19"/>
  <c r="F20"/>
  <c r="H20"/>
  <c r="I20"/>
  <c r="K20"/>
  <c r="N20"/>
  <c r="R20"/>
  <c r="F21"/>
  <c r="H21"/>
  <c r="I21"/>
  <c r="K21"/>
  <c r="N21"/>
  <c r="R21"/>
  <c r="F22"/>
  <c r="H22"/>
  <c r="I22"/>
  <c r="K22"/>
  <c r="N22"/>
  <c r="R22"/>
  <c r="F23"/>
  <c r="H23"/>
  <c r="I23"/>
  <c r="K23"/>
  <c r="N23"/>
  <c r="R23"/>
  <c r="F24"/>
  <c r="H24"/>
  <c r="I24"/>
  <c r="K24"/>
  <c r="N24"/>
  <c r="R24"/>
  <c r="F8" i="17"/>
  <c r="G8"/>
  <c r="I8"/>
  <c r="J8"/>
  <c r="K8"/>
  <c r="L8"/>
  <c r="N8"/>
  <c r="O8"/>
  <c r="I8" i="19" s="1"/>
  <c r="P8" i="17"/>
  <c r="O8" i="18" s="1"/>
  <c r="Q8" i="17"/>
  <c r="P8" i="18" s="1"/>
  <c r="R8" i="17"/>
  <c r="Q8" i="18" s="1"/>
  <c r="S8" i="17"/>
  <c r="T8"/>
  <c r="U8"/>
  <c r="V8"/>
  <c r="W8"/>
  <c r="X8"/>
  <c r="Y8"/>
  <c r="Z8"/>
  <c r="AA8"/>
  <c r="AB8"/>
  <c r="AC8"/>
  <c r="W8" i="19" s="1"/>
  <c r="AD8" i="17"/>
  <c r="AE8"/>
  <c r="F9"/>
  <c r="G9"/>
  <c r="I9"/>
  <c r="J9"/>
  <c r="K9"/>
  <c r="L9"/>
  <c r="N9"/>
  <c r="O9"/>
  <c r="I9" i="19" s="1"/>
  <c r="P9" i="17"/>
  <c r="O9" i="18" s="1"/>
  <c r="Q9" i="17"/>
  <c r="P9" i="18" s="1"/>
  <c r="R9" i="17"/>
  <c r="Q9" i="18" s="1"/>
  <c r="S9" i="17"/>
  <c r="T9"/>
  <c r="U9"/>
  <c r="V9"/>
  <c r="W9"/>
  <c r="X9"/>
  <c r="Y9"/>
  <c r="Z9"/>
  <c r="AA9"/>
  <c r="AB9"/>
  <c r="AC9"/>
  <c r="W9" i="19" s="1"/>
  <c r="AD9" i="17"/>
  <c r="AE9"/>
  <c r="F10"/>
  <c r="G10"/>
  <c r="I10"/>
  <c r="J10"/>
  <c r="K10"/>
  <c r="L10"/>
  <c r="N10"/>
  <c r="O10"/>
  <c r="I10" i="19" s="1"/>
  <c r="P10" i="17"/>
  <c r="O10" i="18" s="1"/>
  <c r="Q10" i="17"/>
  <c r="P10" i="18" s="1"/>
  <c r="R10" i="17"/>
  <c r="Q10" i="18" s="1"/>
  <c r="S10" i="17"/>
  <c r="T10"/>
  <c r="U10"/>
  <c r="V10"/>
  <c r="W10"/>
  <c r="X10"/>
  <c r="Y10"/>
  <c r="Z10"/>
  <c r="AA10"/>
  <c r="AB10"/>
  <c r="AC10"/>
  <c r="W10" i="19" s="1"/>
  <c r="AD10" i="17"/>
  <c r="AE10"/>
  <c r="F11"/>
  <c r="G11"/>
  <c r="I11"/>
  <c r="J11"/>
  <c r="K11"/>
  <c r="L11"/>
  <c r="N11"/>
  <c r="O11"/>
  <c r="I11" i="19" s="1"/>
  <c r="P11" i="17"/>
  <c r="O11" i="18" s="1"/>
  <c r="Q11" i="17"/>
  <c r="P11" i="18" s="1"/>
  <c r="R11" i="17"/>
  <c r="Q11" i="18" s="1"/>
  <c r="S11" i="17"/>
  <c r="T11"/>
  <c r="U11"/>
  <c r="V11"/>
  <c r="W11"/>
  <c r="X11"/>
  <c r="Y11"/>
  <c r="Z11"/>
  <c r="AA11"/>
  <c r="AB11"/>
  <c r="AC11"/>
  <c r="W11" i="19" s="1"/>
  <c r="AD11" i="17"/>
  <c r="AE11"/>
  <c r="F12"/>
  <c r="G12"/>
  <c r="I12"/>
  <c r="J12"/>
  <c r="K12"/>
  <c r="L12"/>
  <c r="N12"/>
  <c r="O12"/>
  <c r="I12" i="19" s="1"/>
  <c r="P12" i="17"/>
  <c r="O12" i="18" s="1"/>
  <c r="Q12" i="17"/>
  <c r="P12" i="18" s="1"/>
  <c r="R12" i="17"/>
  <c r="Q12" i="18" s="1"/>
  <c r="S12" i="17"/>
  <c r="T12"/>
  <c r="U12"/>
  <c r="V12"/>
  <c r="W12"/>
  <c r="X12"/>
  <c r="Y12"/>
  <c r="Z12"/>
  <c r="AA12"/>
  <c r="AB12"/>
  <c r="AC12"/>
  <c r="W12" i="19" s="1"/>
  <c r="AD12" i="17"/>
  <c r="AE12"/>
  <c r="F13"/>
  <c r="G13"/>
  <c r="I13"/>
  <c r="J13"/>
  <c r="K13"/>
  <c r="L13"/>
  <c r="N13"/>
  <c r="O13"/>
  <c r="I13" i="19" s="1"/>
  <c r="P13" i="17"/>
  <c r="O13" i="18" s="1"/>
  <c r="Q13" i="17"/>
  <c r="P13" i="18" s="1"/>
  <c r="R13" i="17"/>
  <c r="Q13" i="18" s="1"/>
  <c r="S13" i="17"/>
  <c r="T13"/>
  <c r="U13"/>
  <c r="V13"/>
  <c r="W13"/>
  <c r="X13"/>
  <c r="Y13"/>
  <c r="Z13"/>
  <c r="AA13"/>
  <c r="AB13"/>
  <c r="AC13"/>
  <c r="W13" i="19" s="1"/>
  <c r="AD13" i="17"/>
  <c r="AE13"/>
  <c r="F14"/>
  <c r="G14"/>
  <c r="I14"/>
  <c r="J14"/>
  <c r="K14"/>
  <c r="L14"/>
  <c r="N14"/>
  <c r="O14"/>
  <c r="I14" i="19" s="1"/>
  <c r="P14" i="17"/>
  <c r="O14" i="18" s="1"/>
  <c r="Q14" i="17"/>
  <c r="P14" i="18" s="1"/>
  <c r="R14" i="17"/>
  <c r="Q14" i="18" s="1"/>
  <c r="S14" i="17"/>
  <c r="T14"/>
  <c r="U14"/>
  <c r="V14"/>
  <c r="W14"/>
  <c r="X14"/>
  <c r="Y14"/>
  <c r="Z14"/>
  <c r="AA14"/>
  <c r="AB14"/>
  <c r="AC14"/>
  <c r="W14" i="19" s="1"/>
  <c r="AD14" i="17"/>
  <c r="AE14"/>
  <c r="F15"/>
  <c r="G15"/>
  <c r="I15"/>
  <c r="J15"/>
  <c r="K15"/>
  <c r="L15"/>
  <c r="N15"/>
  <c r="O15"/>
  <c r="I15" i="19" s="1"/>
  <c r="P15" i="17"/>
  <c r="O15" i="18" s="1"/>
  <c r="Q15" i="17"/>
  <c r="P15" i="18" s="1"/>
  <c r="R15" i="17"/>
  <c r="Q15" i="18" s="1"/>
  <c r="S15" i="17"/>
  <c r="T15"/>
  <c r="U15"/>
  <c r="V15"/>
  <c r="W15"/>
  <c r="X15"/>
  <c r="Y15"/>
  <c r="Z15"/>
  <c r="AA15"/>
  <c r="AB15"/>
  <c r="AC15"/>
  <c r="W15" i="19" s="1"/>
  <c r="AD15" i="17"/>
  <c r="AE15"/>
  <c r="F16"/>
  <c r="G16"/>
  <c r="I16"/>
  <c r="J16"/>
  <c r="K16"/>
  <c r="L16"/>
  <c r="N16"/>
  <c r="O16"/>
  <c r="I16" i="19" s="1"/>
  <c r="P16" i="17"/>
  <c r="O16" i="18" s="1"/>
  <c r="Q16" i="17"/>
  <c r="P16" i="18" s="1"/>
  <c r="R16" i="17"/>
  <c r="Q16" i="18" s="1"/>
  <c r="S16" i="17"/>
  <c r="T16"/>
  <c r="U16"/>
  <c r="V16"/>
  <c r="W16"/>
  <c r="X16"/>
  <c r="Y16"/>
  <c r="Z16"/>
  <c r="AA16"/>
  <c r="AB16"/>
  <c r="AC16"/>
  <c r="W16" i="19" s="1"/>
  <c r="AD16" i="17"/>
  <c r="AE16"/>
  <c r="F17"/>
  <c r="G17"/>
  <c r="I17"/>
  <c r="J17"/>
  <c r="K17"/>
  <c r="L17"/>
  <c r="N17"/>
  <c r="O17"/>
  <c r="I17" i="19" s="1"/>
  <c r="P17" i="17"/>
  <c r="O17" i="18" s="1"/>
  <c r="Q17" i="17"/>
  <c r="P17" i="18" s="1"/>
  <c r="R17" i="17"/>
  <c r="Q17" i="18" s="1"/>
  <c r="S17" i="17"/>
  <c r="T17"/>
  <c r="U17"/>
  <c r="V17"/>
  <c r="W17"/>
  <c r="X17"/>
  <c r="Y17"/>
  <c r="Z17"/>
  <c r="AA17"/>
  <c r="AB17"/>
  <c r="AC17"/>
  <c r="W17" i="19" s="1"/>
  <c r="AD17" i="17"/>
  <c r="AE17"/>
  <c r="F18"/>
  <c r="G18"/>
  <c r="I18"/>
  <c r="J18"/>
  <c r="K18"/>
  <c r="L18"/>
  <c r="N18"/>
  <c r="O18"/>
  <c r="I18" i="19" s="1"/>
  <c r="P18" i="17"/>
  <c r="O18" i="18" s="1"/>
  <c r="Q18" i="17"/>
  <c r="P18" i="18" s="1"/>
  <c r="R18" i="17"/>
  <c r="Q18" i="18" s="1"/>
  <c r="S18" i="17"/>
  <c r="T18"/>
  <c r="U18"/>
  <c r="V18"/>
  <c r="W18"/>
  <c r="X18"/>
  <c r="Y18"/>
  <c r="Z18"/>
  <c r="AA18"/>
  <c r="AB18"/>
  <c r="AC18"/>
  <c r="W18" i="19" s="1"/>
  <c r="AD18" i="17"/>
  <c r="AE18"/>
  <c r="F19"/>
  <c r="G19"/>
  <c r="I19"/>
  <c r="J19"/>
  <c r="K19"/>
  <c r="L19"/>
  <c r="N19"/>
  <c r="O19"/>
  <c r="I19" i="19" s="1"/>
  <c r="P19" i="17"/>
  <c r="O19" i="18" s="1"/>
  <c r="Q19" i="17"/>
  <c r="P19" i="18" s="1"/>
  <c r="R19" i="17"/>
  <c r="Q19" i="18" s="1"/>
  <c r="S19" i="17"/>
  <c r="T19"/>
  <c r="U19"/>
  <c r="V19"/>
  <c r="W19"/>
  <c r="X19"/>
  <c r="Y19"/>
  <c r="Z19"/>
  <c r="AA19"/>
  <c r="AB19"/>
  <c r="AC19"/>
  <c r="W19" i="19" s="1"/>
  <c r="AD19" i="17"/>
  <c r="AE19"/>
  <c r="F20"/>
  <c r="G20"/>
  <c r="I20"/>
  <c r="J20"/>
  <c r="K20"/>
  <c r="L20"/>
  <c r="N20"/>
  <c r="O20"/>
  <c r="I20" i="19" s="1"/>
  <c r="P20" i="17"/>
  <c r="O20" i="18" s="1"/>
  <c r="Q20" i="17"/>
  <c r="P20" i="18" s="1"/>
  <c r="R20" i="17"/>
  <c r="Q20" i="18" s="1"/>
  <c r="S20" i="17"/>
  <c r="T20"/>
  <c r="N20" i="19" s="1"/>
  <c r="U20" i="17"/>
  <c r="V20"/>
  <c r="P20" i="19" s="1"/>
  <c r="W20" i="17"/>
  <c r="X20"/>
  <c r="R20" i="19" s="1"/>
  <c r="Y20" i="17"/>
  <c r="Z20"/>
  <c r="U20" i="19" s="1"/>
  <c r="AA20" i="17"/>
  <c r="AB20"/>
  <c r="AC20"/>
  <c r="W20" i="19" s="1"/>
  <c r="AD20" i="17"/>
  <c r="AE20"/>
  <c r="Y20" i="19" s="1"/>
  <c r="F21" i="17"/>
  <c r="G21"/>
  <c r="I21"/>
  <c r="J21"/>
  <c r="K21"/>
  <c r="F21" i="19" s="1"/>
  <c r="L21" i="17"/>
  <c r="N21"/>
  <c r="H21" i="19" s="1"/>
  <c r="O21" i="17"/>
  <c r="I21" i="19" s="1"/>
  <c r="P21" i="17"/>
  <c r="O21" i="18" s="1"/>
  <c r="Q21" i="17"/>
  <c r="P21" i="18" s="1"/>
  <c r="R21" i="17"/>
  <c r="Q21" i="18" s="1"/>
  <c r="S21" i="17"/>
  <c r="T21"/>
  <c r="N21" i="19" s="1"/>
  <c r="U21" i="17"/>
  <c r="V21"/>
  <c r="P21" i="19" s="1"/>
  <c r="W21" i="17"/>
  <c r="X21"/>
  <c r="R21" i="19" s="1"/>
  <c r="Y21" i="17"/>
  <c r="Z21"/>
  <c r="U21" i="19" s="1"/>
  <c r="AA21" i="17"/>
  <c r="AB21"/>
  <c r="AC21"/>
  <c r="W21" i="19" s="1"/>
  <c r="AD21" i="17"/>
  <c r="AE21"/>
  <c r="Y21" i="19" s="1"/>
  <c r="F22" i="17"/>
  <c r="G22"/>
  <c r="I22"/>
  <c r="J22"/>
  <c r="K22"/>
  <c r="F22" i="19" s="1"/>
  <c r="L22" i="17"/>
  <c r="N22"/>
  <c r="H22" i="19" s="1"/>
  <c r="O22" i="17"/>
  <c r="I22" i="19" s="1"/>
  <c r="P22" i="17"/>
  <c r="O22" i="18" s="1"/>
  <c r="Q22" i="17"/>
  <c r="P22" i="18" s="1"/>
  <c r="R22" i="17"/>
  <c r="Q22" i="18" s="1"/>
  <c r="S22" i="17"/>
  <c r="T22"/>
  <c r="N22" i="19" s="1"/>
  <c r="U22" i="17"/>
  <c r="O22" i="19" s="1"/>
  <c r="V22" i="17"/>
  <c r="P22" i="19" s="1"/>
  <c r="W22" i="17"/>
  <c r="Q22" i="19" s="1"/>
  <c r="T22" s="1"/>
  <c r="X22" i="17"/>
  <c r="R22" i="19" s="1"/>
  <c r="Y22" i="17"/>
  <c r="S22" i="19" s="1"/>
  <c r="Z22" i="17"/>
  <c r="U22" i="19" s="1"/>
  <c r="AA22" i="17"/>
  <c r="V22" i="19" s="1"/>
  <c r="AB22" i="17"/>
  <c r="AC22"/>
  <c r="W22" i="19" s="1"/>
  <c r="AD22" i="17"/>
  <c r="X22" i="19" s="1"/>
  <c r="AE22" i="17"/>
  <c r="Y22" i="19" s="1"/>
  <c r="F23" i="17"/>
  <c r="G23"/>
  <c r="I23"/>
  <c r="J23"/>
  <c r="K23"/>
  <c r="F23" i="19" s="1"/>
  <c r="L23" i="17"/>
  <c r="N23"/>
  <c r="H23" i="19" s="1"/>
  <c r="O23" i="17"/>
  <c r="I23" i="19" s="1"/>
  <c r="P23" i="17"/>
  <c r="O23" i="18" s="1"/>
  <c r="Q23" i="17"/>
  <c r="P23" i="18" s="1"/>
  <c r="R23" i="17"/>
  <c r="Q23" i="18" s="1"/>
  <c r="S23" i="17"/>
  <c r="T23"/>
  <c r="N23" i="19" s="1"/>
  <c r="U23" i="17"/>
  <c r="O23" i="19" s="1"/>
  <c r="V23" i="17"/>
  <c r="P23" i="19" s="1"/>
  <c r="W23" i="17"/>
  <c r="Q23" i="19" s="1"/>
  <c r="T23" s="1"/>
  <c r="X23" i="17"/>
  <c r="R23" i="19" s="1"/>
  <c r="Y23" i="17"/>
  <c r="S23" i="19" s="1"/>
  <c r="Z23" i="17"/>
  <c r="U23" i="19" s="1"/>
  <c r="AA23" i="17"/>
  <c r="V23" i="19" s="1"/>
  <c r="AB23" i="17"/>
  <c r="AC23"/>
  <c r="W23" i="19" s="1"/>
  <c r="AD23" i="17"/>
  <c r="X23" i="19" s="1"/>
  <c r="AE23" i="17"/>
  <c r="Y23" i="19" s="1"/>
  <c r="F24" i="17"/>
  <c r="G24"/>
  <c r="I24"/>
  <c r="J24"/>
  <c r="K24"/>
  <c r="F24" i="19" s="1"/>
  <c r="L24" i="17"/>
  <c r="N24"/>
  <c r="H24" i="19" s="1"/>
  <c r="O24" i="17"/>
  <c r="I24" i="19" s="1"/>
  <c r="P24" i="17"/>
  <c r="O24" i="18" s="1"/>
  <c r="Q24" i="17"/>
  <c r="P24" i="18" s="1"/>
  <c r="R24" i="17"/>
  <c r="Q24" i="18" s="1"/>
  <c r="S24" i="17"/>
  <c r="T24"/>
  <c r="N24" i="19" s="1"/>
  <c r="U24" i="17"/>
  <c r="O24" i="19" s="1"/>
  <c r="V24" i="17"/>
  <c r="P24" i="19" s="1"/>
  <c r="W24" i="17"/>
  <c r="Q24" i="19" s="1"/>
  <c r="T24" s="1"/>
  <c r="X24" i="17"/>
  <c r="R24" i="19" s="1"/>
  <c r="Y24" i="17"/>
  <c r="S24" i="19" s="1"/>
  <c r="Z24" i="17"/>
  <c r="U24" i="19" s="1"/>
  <c r="AA24" i="17"/>
  <c r="V24" i="19" s="1"/>
  <c r="AB24" i="17"/>
  <c r="AC24"/>
  <c r="W24" i="19" s="1"/>
  <c r="AD24" i="17"/>
  <c r="X24" i="19" s="1"/>
  <c r="AE24" i="17"/>
  <c r="Y24" i="19" s="1"/>
  <c r="AE7" i="17"/>
  <c r="Y7" i="19" s="1"/>
  <c r="M9" i="16"/>
  <c r="AD7" i="17"/>
  <c r="X7" i="19" s="1"/>
  <c r="AC7" i="17"/>
  <c r="W7" i="19" s="1"/>
  <c r="AA7" i="17"/>
  <c r="V7" i="19" s="1"/>
  <c r="Z7" i="17"/>
  <c r="U7" i="19" s="1"/>
  <c r="Y7" i="17"/>
  <c r="S7" i="19" s="1"/>
  <c r="X7" i="17"/>
  <c r="R7" i="19" s="1"/>
  <c r="V7" i="17"/>
  <c r="P7" i="19" s="1"/>
  <c r="W7" i="17"/>
  <c r="Q7" i="19" s="1"/>
  <c r="U7" i="17"/>
  <c r="O7" i="19" s="1"/>
  <c r="T7" i="17"/>
  <c r="N7" i="19" s="1"/>
  <c r="Q7" i="17"/>
  <c r="P7" i="18" s="1"/>
  <c r="N7" i="17"/>
  <c r="K7"/>
  <c r="S7" i="18" l="1"/>
  <c r="Y7"/>
  <c r="W7"/>
  <c r="M7"/>
  <c r="AG7" s="1"/>
  <c r="H7" i="19"/>
  <c r="X21"/>
  <c r="AB21" i="18"/>
  <c r="X20" i="19"/>
  <c r="AB20" i="18"/>
  <c r="M20"/>
  <c r="AG20" s="1"/>
  <c r="H20" i="19"/>
  <c r="F20"/>
  <c r="J20" i="18"/>
  <c r="AH20" s="1"/>
  <c r="X19" i="19"/>
  <c r="AB19" i="18"/>
  <c r="U19" i="19"/>
  <c r="Y19" i="18"/>
  <c r="W19"/>
  <c r="R19" i="19"/>
  <c r="U19" i="18"/>
  <c r="P19" i="19"/>
  <c r="S19" i="18"/>
  <c r="N19" i="19"/>
  <c r="H19"/>
  <c r="M19" i="18"/>
  <c r="AG19" s="1"/>
  <c r="J19"/>
  <c r="AH19" s="1"/>
  <c r="F19" i="19"/>
  <c r="X18"/>
  <c r="AB18" i="18"/>
  <c r="U18" i="19"/>
  <c r="Y18" i="18"/>
  <c r="W18"/>
  <c r="R18" i="19"/>
  <c r="U18" i="18"/>
  <c r="P18" i="19"/>
  <c r="S18" i="18"/>
  <c r="N18" i="19"/>
  <c r="M18" i="18"/>
  <c r="AG18" s="1"/>
  <c r="H18" i="19"/>
  <c r="F18"/>
  <c r="J18" i="18"/>
  <c r="AH18" s="1"/>
  <c r="X17" i="19"/>
  <c r="AB17" i="18"/>
  <c r="U17" i="19"/>
  <c r="Y17" i="18"/>
  <c r="W17"/>
  <c r="R17" i="19"/>
  <c r="U17" i="18"/>
  <c r="P17" i="19"/>
  <c r="S17" i="18"/>
  <c r="N17" i="19"/>
  <c r="H17"/>
  <c r="M17" i="18"/>
  <c r="AG17" s="1"/>
  <c r="J17"/>
  <c r="AH17" s="1"/>
  <c r="F17" i="19"/>
  <c r="X16"/>
  <c r="AB16" i="18"/>
  <c r="U16" i="19"/>
  <c r="Y16" i="18"/>
  <c r="W16"/>
  <c r="R16" i="19"/>
  <c r="U16" i="18"/>
  <c r="P16" i="19"/>
  <c r="S16" i="18"/>
  <c r="N16" i="19"/>
  <c r="M16" i="18"/>
  <c r="AG16" s="1"/>
  <c r="H16" i="19"/>
  <c r="F16"/>
  <c r="J16" i="18"/>
  <c r="AH16" s="1"/>
  <c r="X15" i="19"/>
  <c r="AB15" i="18"/>
  <c r="U15" i="19"/>
  <c r="Y15" i="18"/>
  <c r="W15"/>
  <c r="R15" i="19"/>
  <c r="U15" i="18"/>
  <c r="P15" i="19"/>
  <c r="S15" i="18"/>
  <c r="N15" i="19"/>
  <c r="H15"/>
  <c r="M15" i="18"/>
  <c r="AG15" s="1"/>
  <c r="J15"/>
  <c r="AH15" s="1"/>
  <c r="F15" i="19"/>
  <c r="X14"/>
  <c r="AB14" i="18"/>
  <c r="U14" i="19"/>
  <c r="Y14" i="18"/>
  <c r="W14"/>
  <c r="R14" i="19"/>
  <c r="U14" i="18"/>
  <c r="P14" i="19"/>
  <c r="S14" i="18"/>
  <c r="N14" i="19"/>
  <c r="M14" i="18"/>
  <c r="AG14" s="1"/>
  <c r="H14" i="19"/>
  <c r="F14"/>
  <c r="J14" i="18"/>
  <c r="AH14" s="1"/>
  <c r="X13" i="19"/>
  <c r="AB13" i="18"/>
  <c r="U13" i="19"/>
  <c r="Y13" i="18"/>
  <c r="W13"/>
  <c r="R13" i="19"/>
  <c r="U13" i="18"/>
  <c r="P13" i="19"/>
  <c r="S13" i="18"/>
  <c r="N13" i="19"/>
  <c r="H13"/>
  <c r="M13" i="18"/>
  <c r="AG13" s="1"/>
  <c r="J13"/>
  <c r="AH13" s="1"/>
  <c r="F13" i="19"/>
  <c r="X12"/>
  <c r="AB12" i="18"/>
  <c r="U12" i="19"/>
  <c r="Y12" i="18"/>
  <c r="W12"/>
  <c r="R12" i="19"/>
  <c r="U12" i="18"/>
  <c r="P12" i="19"/>
  <c r="S12" i="18"/>
  <c r="N12" i="19"/>
  <c r="M12" i="18"/>
  <c r="AG12" s="1"/>
  <c r="H12" i="19"/>
  <c r="F12"/>
  <c r="J12" i="18"/>
  <c r="AH12" s="1"/>
  <c r="X11" i="19"/>
  <c r="AB11" i="18"/>
  <c r="U11" i="19"/>
  <c r="Y11" i="18"/>
  <c r="W11"/>
  <c r="R11" i="19"/>
  <c r="U11" i="18"/>
  <c r="P11" i="19"/>
  <c r="S11" i="18"/>
  <c r="N11" i="19"/>
  <c r="H11"/>
  <c r="M11" i="18"/>
  <c r="AG11" s="1"/>
  <c r="J11"/>
  <c r="AH11" s="1"/>
  <c r="F11" i="19"/>
  <c r="X10"/>
  <c r="AB10" i="18"/>
  <c r="U10" i="19"/>
  <c r="Y10" i="18"/>
  <c r="W10"/>
  <c r="R10" i="19"/>
  <c r="U10" i="18"/>
  <c r="P10" i="19"/>
  <c r="S10" i="18"/>
  <c r="N10" i="19"/>
  <c r="M10" i="18"/>
  <c r="AG10" s="1"/>
  <c r="H10" i="19"/>
  <c r="F10"/>
  <c r="J10" i="18"/>
  <c r="AH10" s="1"/>
  <c r="X9" i="19"/>
  <c r="AB9" i="18"/>
  <c r="U9" i="19"/>
  <c r="Y9" i="18"/>
  <c r="W9"/>
  <c r="R9" i="19"/>
  <c r="U9" i="18"/>
  <c r="P9" i="19"/>
  <c r="S9" i="18"/>
  <c r="N9" i="19"/>
  <c r="H9"/>
  <c r="M9" i="18"/>
  <c r="AG9" s="1"/>
  <c r="J9"/>
  <c r="AH9" s="1"/>
  <c r="F9" i="19"/>
  <c r="X8"/>
  <c r="AB8" i="18"/>
  <c r="U8" i="19"/>
  <c r="Y8" i="18"/>
  <c r="W8"/>
  <c r="R8" i="19"/>
  <c r="U8" i="18"/>
  <c r="P8" i="19"/>
  <c r="S8" i="18"/>
  <c r="N8" i="19"/>
  <c r="M8" i="18"/>
  <c r="AG8" s="1"/>
  <c r="H8" i="19"/>
  <c r="F8"/>
  <c r="J8" i="18"/>
  <c r="AH8" s="1"/>
  <c r="T7"/>
  <c r="V7"/>
  <c r="X7"/>
  <c r="Z7"/>
  <c r="AC7"/>
  <c r="AB24"/>
  <c r="Z24"/>
  <c r="X24"/>
  <c r="V24"/>
  <c r="T24"/>
  <c r="AB23"/>
  <c r="Z23"/>
  <c r="X23"/>
  <c r="V23"/>
  <c r="T23"/>
  <c r="AB22"/>
  <c r="Z22"/>
  <c r="X22"/>
  <c r="V22"/>
  <c r="T22"/>
  <c r="W21"/>
  <c r="S21"/>
  <c r="W20"/>
  <c r="S20"/>
  <c r="J7"/>
  <c r="AH7" s="1"/>
  <c r="F7" i="19"/>
  <c r="V21"/>
  <c r="Z21" i="18"/>
  <c r="S21" i="19"/>
  <c r="X21" i="18"/>
  <c r="Q21" i="19"/>
  <c r="T21" s="1"/>
  <c r="V21" i="18"/>
  <c r="O21" i="19"/>
  <c r="T21" i="18"/>
  <c r="V20" i="19"/>
  <c r="Z20" i="18"/>
  <c r="S20" i="19"/>
  <c r="X20" i="18"/>
  <c r="Q20" i="19"/>
  <c r="T20" s="1"/>
  <c r="V20" i="18"/>
  <c r="O20" i="19"/>
  <c r="T20" i="18"/>
  <c r="Y19" i="19"/>
  <c r="AC19" i="18"/>
  <c r="V19" i="19"/>
  <c r="Z19" i="18"/>
  <c r="S19" i="19"/>
  <c r="X19" i="18"/>
  <c r="Q19" i="19"/>
  <c r="T19" s="1"/>
  <c r="V19" i="18"/>
  <c r="O19" i="19"/>
  <c r="T19" i="18"/>
  <c r="Y18" i="19"/>
  <c r="AC18" i="18"/>
  <c r="V18" i="19"/>
  <c r="Z18" i="18"/>
  <c r="S18" i="19"/>
  <c r="X18" i="18"/>
  <c r="Q18" i="19"/>
  <c r="T18" s="1"/>
  <c r="V18" i="18"/>
  <c r="O18" i="19"/>
  <c r="T18" i="18"/>
  <c r="Y17" i="19"/>
  <c r="AC17" i="18"/>
  <c r="V17" i="19"/>
  <c r="Z17" i="18"/>
  <c r="S17" i="19"/>
  <c r="X17" i="18"/>
  <c r="Q17" i="19"/>
  <c r="T17" s="1"/>
  <c r="V17" i="18"/>
  <c r="O17" i="19"/>
  <c r="T17" i="18"/>
  <c r="Y16" i="19"/>
  <c r="AC16" i="18"/>
  <c r="V16" i="19"/>
  <c r="Z16" i="18"/>
  <c r="S16" i="19"/>
  <c r="X16" i="18"/>
  <c r="Q16" i="19"/>
  <c r="T16" s="1"/>
  <c r="V16" i="18"/>
  <c r="O16" i="19"/>
  <c r="T16" i="18"/>
  <c r="Y15" i="19"/>
  <c r="AC15" i="18"/>
  <c r="V15" i="19"/>
  <c r="Z15" i="18"/>
  <c r="S15" i="19"/>
  <c r="X15" i="18"/>
  <c r="Q15" i="19"/>
  <c r="T15" s="1"/>
  <c r="V15" i="18"/>
  <c r="O15" i="19"/>
  <c r="T15" i="18"/>
  <c r="Y14" i="19"/>
  <c r="AC14" i="18"/>
  <c r="V14" i="19"/>
  <c r="Z14" i="18"/>
  <c r="S14" i="19"/>
  <c r="X14" i="18"/>
  <c r="Q14" i="19"/>
  <c r="T14" s="1"/>
  <c r="V14" i="18"/>
  <c r="O14" i="19"/>
  <c r="T14" i="18"/>
  <c r="Y13" i="19"/>
  <c r="AC13" i="18"/>
  <c r="V13" i="19"/>
  <c r="Z13" i="18"/>
  <c r="S13" i="19"/>
  <c r="X13" i="18"/>
  <c r="Q13" i="19"/>
  <c r="T13" s="1"/>
  <c r="V13" i="18"/>
  <c r="O13" i="19"/>
  <c r="T13" i="18"/>
  <c r="Y12" i="19"/>
  <c r="AC12" i="18"/>
  <c r="V12" i="19"/>
  <c r="Z12" i="18"/>
  <c r="S12" i="19"/>
  <c r="X12" i="18"/>
  <c r="Q12" i="19"/>
  <c r="T12" s="1"/>
  <c r="V12" i="18"/>
  <c r="O12" i="19"/>
  <c r="T12" i="18"/>
  <c r="Y11" i="19"/>
  <c r="AC11" i="18"/>
  <c r="V11" i="19"/>
  <c r="Z11" i="18"/>
  <c r="S11" i="19"/>
  <c r="X11" i="18"/>
  <c r="Q11" i="19"/>
  <c r="T11" s="1"/>
  <c r="V11" i="18"/>
  <c r="O11" i="19"/>
  <c r="T11" i="18"/>
  <c r="Y10" i="19"/>
  <c r="AC10" i="18"/>
  <c r="V10" i="19"/>
  <c r="Z10" i="18"/>
  <c r="S10" i="19"/>
  <c r="X10" i="18"/>
  <c r="Q10" i="19"/>
  <c r="T10" s="1"/>
  <c r="V10" i="18"/>
  <c r="O10" i="19"/>
  <c r="T10" i="18"/>
  <c r="Y9" i="19"/>
  <c r="AC9" i="18"/>
  <c r="V9" i="19"/>
  <c r="Z9" i="18"/>
  <c r="S9" i="19"/>
  <c r="X9" i="18"/>
  <c r="Q9" i="19"/>
  <c r="T9" s="1"/>
  <c r="V9" i="18"/>
  <c r="O9" i="19"/>
  <c r="T9" i="18"/>
  <c r="Y8" i="19"/>
  <c r="AC8" i="18"/>
  <c r="V8" i="19"/>
  <c r="Z8" i="18"/>
  <c r="S8" i="19"/>
  <c r="X8" i="18"/>
  <c r="Q8" i="19"/>
  <c r="T8" s="1"/>
  <c r="V8" i="18"/>
  <c r="O8" i="19"/>
  <c r="T8" i="18"/>
  <c r="U7"/>
  <c r="AB7"/>
  <c r="AC24"/>
  <c r="Y24"/>
  <c r="W24"/>
  <c r="U24"/>
  <c r="S24"/>
  <c r="M24"/>
  <c r="AG24" s="1"/>
  <c r="J24"/>
  <c r="AH24" s="1"/>
  <c r="AC23"/>
  <c r="Y23"/>
  <c r="W23"/>
  <c r="U23"/>
  <c r="S23"/>
  <c r="M23"/>
  <c r="AG23" s="1"/>
  <c r="J23"/>
  <c r="AH23" s="1"/>
  <c r="AC22"/>
  <c r="Y22"/>
  <c r="W22"/>
  <c r="U22"/>
  <c r="S22"/>
  <c r="M22"/>
  <c r="AG22" s="1"/>
  <c r="J22"/>
  <c r="AH22" s="1"/>
  <c r="AC21"/>
  <c r="Y21"/>
  <c r="U21"/>
  <c r="M21"/>
  <c r="AG21" s="1"/>
  <c r="J21"/>
  <c r="AH21" s="1"/>
  <c r="AC20"/>
  <c r="Y20"/>
  <c r="U20"/>
  <c r="D10" i="16" l="1"/>
  <c r="D11"/>
  <c r="D12"/>
  <c r="D13"/>
  <c r="D14"/>
  <c r="D15"/>
  <c r="D16"/>
  <c r="D17"/>
  <c r="D18"/>
  <c r="D19"/>
  <c r="D20"/>
  <c r="D21"/>
  <c r="D22"/>
  <c r="D23"/>
  <c r="D24"/>
  <c r="D25"/>
  <c r="D26"/>
  <c r="D27"/>
  <c r="D9"/>
  <c r="H7" i="18"/>
  <c r="I7" i="17"/>
  <c r="AA5" i="19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M3"/>
  <c r="X2" i="17"/>
  <c r="D24" i="19" l="1"/>
  <c r="D22"/>
  <c r="D20"/>
  <c r="D18"/>
  <c r="D16"/>
  <c r="D14"/>
  <c r="D12"/>
  <c r="D10"/>
  <c r="D8"/>
  <c r="D7"/>
  <c r="D23"/>
  <c r="D21"/>
  <c r="D19"/>
  <c r="D17"/>
  <c r="D15"/>
  <c r="D13"/>
  <c r="D11"/>
  <c r="D9"/>
  <c r="G29" i="18"/>
  <c r="M24" i="19"/>
  <c r="K24"/>
  <c r="J24"/>
  <c r="C24"/>
  <c r="M23"/>
  <c r="K23"/>
  <c r="J23"/>
  <c r="C23"/>
  <c r="M22"/>
  <c r="K22"/>
  <c r="J22"/>
  <c r="C22"/>
  <c r="M21"/>
  <c r="K21"/>
  <c r="J21"/>
  <c r="C21"/>
  <c r="M20"/>
  <c r="K20"/>
  <c r="J20"/>
  <c r="C20"/>
  <c r="M19"/>
  <c r="K19"/>
  <c r="J19"/>
  <c r="C19"/>
  <c r="M18"/>
  <c r="K18"/>
  <c r="J18"/>
  <c r="C18"/>
  <c r="M17"/>
  <c r="K17"/>
  <c r="J17"/>
  <c r="C17"/>
  <c r="M16"/>
  <c r="K16"/>
  <c r="J16"/>
  <c r="C16"/>
  <c r="M15"/>
  <c r="K15"/>
  <c r="J15"/>
  <c r="C15"/>
  <c r="M14"/>
  <c r="K14"/>
  <c r="J14"/>
  <c r="C14"/>
  <c r="M13"/>
  <c r="K13"/>
  <c r="J13"/>
  <c r="C13"/>
  <c r="M12"/>
  <c r="K12"/>
  <c r="J12"/>
  <c r="C12"/>
  <c r="M11"/>
  <c r="K11"/>
  <c r="J11"/>
  <c r="C11"/>
  <c r="M10"/>
  <c r="K10"/>
  <c r="J10"/>
  <c r="C10"/>
  <c r="M9"/>
  <c r="K9"/>
  <c r="J9"/>
  <c r="C9"/>
  <c r="M8"/>
  <c r="K8"/>
  <c r="J8"/>
  <c r="C8"/>
  <c r="E8" i="18"/>
  <c r="R7"/>
  <c r="M7" i="19" s="1"/>
  <c r="K7"/>
  <c r="N7" i="18"/>
  <c r="K7"/>
  <c r="I7"/>
  <c r="F7"/>
  <c r="C7" i="19" s="1"/>
  <c r="B3" i="18"/>
  <c r="L8" i="19" l="1"/>
  <c r="AL8" i="18"/>
  <c r="L10" i="19"/>
  <c r="AL10" i="18"/>
  <c r="L12" i="19"/>
  <c r="AL12" i="18"/>
  <c r="L14" i="19"/>
  <c r="AL14" i="18"/>
  <c r="L16" i="19"/>
  <c r="AL16" i="18"/>
  <c r="L18" i="19"/>
  <c r="AL18" i="18"/>
  <c r="L20" i="19"/>
  <c r="AL20" i="18"/>
  <c r="L22" i="19"/>
  <c r="AL22" i="18"/>
  <c r="L24" i="19"/>
  <c r="AL24" i="18"/>
  <c r="L9" i="19"/>
  <c r="AL9" i="18"/>
  <c r="L11" i="19"/>
  <c r="AL11" i="18"/>
  <c r="L13" i="19"/>
  <c r="AL13" i="18"/>
  <c r="L15" i="19"/>
  <c r="AL15" i="18"/>
  <c r="L17" i="19"/>
  <c r="AL17" i="18"/>
  <c r="L19" i="19"/>
  <c r="AL19" i="18"/>
  <c r="L21" i="19"/>
  <c r="AL21" i="18"/>
  <c r="L23" i="19"/>
  <c r="AL23" i="18"/>
  <c r="G7" i="19"/>
  <c r="E9" i="18"/>
  <c r="G8" i="19"/>
  <c r="E9"/>
  <c r="G10"/>
  <c r="E11"/>
  <c r="G12"/>
  <c r="E13"/>
  <c r="G14"/>
  <c r="E15"/>
  <c r="G16"/>
  <c r="E17"/>
  <c r="G18"/>
  <c r="E19"/>
  <c r="G20"/>
  <c r="E21"/>
  <c r="G22"/>
  <c r="E23"/>
  <c r="G24"/>
  <c r="E7"/>
  <c r="E8"/>
  <c r="G9"/>
  <c r="E10"/>
  <c r="G11"/>
  <c r="E12"/>
  <c r="G13"/>
  <c r="E14"/>
  <c r="G15"/>
  <c r="E16"/>
  <c r="G17"/>
  <c r="E18"/>
  <c r="G19"/>
  <c r="E20"/>
  <c r="G21"/>
  <c r="E22"/>
  <c r="G23"/>
  <c r="E24"/>
  <c r="S7" i="17"/>
  <c r="R7"/>
  <c r="Q7" i="18" s="1"/>
  <c r="AL7" s="1"/>
  <c r="P7" i="17"/>
  <c r="O7" i="18" s="1"/>
  <c r="J7" i="19" s="1"/>
  <c r="AB7" i="17"/>
  <c r="O7"/>
  <c r="I7" i="19" s="1"/>
  <c r="L7" i="17"/>
  <c r="J7"/>
  <c r="G7"/>
  <c r="F7"/>
  <c r="B3"/>
  <c r="E8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L7" i="19" l="1"/>
  <c r="AG25" i="18"/>
  <c r="E10"/>
  <c r="AL25"/>
  <c r="H5" i="16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9"/>
  <c r="J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9"/>
  <c r="H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A10"/>
  <c r="B10"/>
  <c r="F10"/>
  <c r="H10"/>
  <c r="I10"/>
  <c r="J10"/>
  <c r="AA8" i="18" s="1"/>
  <c r="A11" i="16"/>
  <c r="B11"/>
  <c r="F11"/>
  <c r="H11"/>
  <c r="I11"/>
  <c r="J11"/>
  <c r="AA9" i="18" s="1"/>
  <c r="A12" i="16"/>
  <c r="B12"/>
  <c r="F12"/>
  <c r="H12"/>
  <c r="I12"/>
  <c r="J12"/>
  <c r="AA10" i="18" s="1"/>
  <c r="A13" i="16"/>
  <c r="B13"/>
  <c r="F13"/>
  <c r="H13"/>
  <c r="I13"/>
  <c r="J13"/>
  <c r="AA11" i="18" s="1"/>
  <c r="A14" i="16"/>
  <c r="B14"/>
  <c r="F14"/>
  <c r="H14"/>
  <c r="I14"/>
  <c r="J14"/>
  <c r="AA12" i="18" s="1"/>
  <c r="A15" i="16"/>
  <c r="B15"/>
  <c r="F15"/>
  <c r="H15"/>
  <c r="I15"/>
  <c r="J15"/>
  <c r="AA13" i="18" s="1"/>
  <c r="A16" i="16"/>
  <c r="B16"/>
  <c r="F16"/>
  <c r="H16"/>
  <c r="I16"/>
  <c r="J16"/>
  <c r="AA14" i="18" s="1"/>
  <c r="A17" i="16"/>
  <c r="B17"/>
  <c r="F17"/>
  <c r="H17"/>
  <c r="I17"/>
  <c r="J17"/>
  <c r="AA15" i="18" s="1"/>
  <c r="A18" i="16"/>
  <c r="B18"/>
  <c r="F18"/>
  <c r="H18"/>
  <c r="I18"/>
  <c r="J18"/>
  <c r="AA16" i="18" s="1"/>
  <c r="A19" i="16"/>
  <c r="B19"/>
  <c r="F19"/>
  <c r="H19"/>
  <c r="I19"/>
  <c r="J19"/>
  <c r="AA17" i="18" s="1"/>
  <c r="A20" i="16"/>
  <c r="B20"/>
  <c r="F20"/>
  <c r="H20"/>
  <c r="I20"/>
  <c r="J20"/>
  <c r="AA18" i="18" s="1"/>
  <c r="A21" i="16"/>
  <c r="B21"/>
  <c r="F21"/>
  <c r="H21"/>
  <c r="I21"/>
  <c r="J21"/>
  <c r="AA19" i="18" s="1"/>
  <c r="A22" i="16"/>
  <c r="B22"/>
  <c r="F22"/>
  <c r="H22"/>
  <c r="I22"/>
  <c r="J22"/>
  <c r="AA20" i="18" s="1"/>
  <c r="A23" i="16"/>
  <c r="B23"/>
  <c r="F23"/>
  <c r="H23"/>
  <c r="I23"/>
  <c r="J23"/>
  <c r="AA21" i="18" s="1"/>
  <c r="A24" i="16"/>
  <c r="B24"/>
  <c r="F24"/>
  <c r="H24"/>
  <c r="I24"/>
  <c r="J24"/>
  <c r="AA22" i="18" s="1"/>
  <c r="A25" i="16"/>
  <c r="B25"/>
  <c r="F25"/>
  <c r="H25"/>
  <c r="I25"/>
  <c r="J25"/>
  <c r="AA23" i="18" s="1"/>
  <c r="A26" i="16"/>
  <c r="B26"/>
  <c r="F26"/>
  <c r="H26"/>
  <c r="I26"/>
  <c r="J26"/>
  <c r="AA24" i="18" s="1"/>
  <c r="A27" i="16"/>
  <c r="B27"/>
  <c r="F27"/>
  <c r="H27"/>
  <c r="I27"/>
  <c r="J27"/>
  <c r="I9"/>
  <c r="A9"/>
  <c r="C9"/>
  <c r="F9"/>
  <c r="B9"/>
  <c r="E10" i="13"/>
  <c r="E11"/>
  <c r="E12"/>
  <c r="E13"/>
  <c r="E14"/>
  <c r="E15"/>
  <c r="E16"/>
  <c r="E17"/>
  <c r="E18"/>
  <c r="E19"/>
  <c r="E20"/>
  <c r="E21"/>
  <c r="E22"/>
  <c r="E23"/>
  <c r="E24"/>
  <c r="E25"/>
  <c r="E26"/>
  <c r="E27"/>
  <c r="E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9"/>
  <c r="P9" i="11"/>
  <c r="P10"/>
  <c r="E11" i="18" l="1"/>
  <c r="AA7"/>
  <c r="L10" i="13"/>
  <c r="L11"/>
  <c r="L12"/>
  <c r="L13"/>
  <c r="L14"/>
  <c r="L15"/>
  <c r="L16"/>
  <c r="L17"/>
  <c r="L18"/>
  <c r="L19"/>
  <c r="L20"/>
  <c r="L21"/>
  <c r="L22"/>
  <c r="L23"/>
  <c r="L24"/>
  <c r="L25"/>
  <c r="L26"/>
  <c r="L27"/>
  <c r="AQ7" i="18" l="1"/>
  <c r="AN7"/>
  <c r="AP7"/>
  <c r="T7" i="19"/>
  <c r="AJ7" i="18"/>
  <c r="AQ10"/>
  <c r="AQ14"/>
  <c r="AQ18"/>
  <c r="AQ22"/>
  <c r="AP9"/>
  <c r="AP13"/>
  <c r="AP17"/>
  <c r="AP21"/>
  <c r="AP23"/>
  <c r="AO7"/>
  <c r="AJ11"/>
  <c r="AJ15"/>
  <c r="AJ19"/>
  <c r="AJ23"/>
  <c r="AI10"/>
  <c r="AI14"/>
  <c r="AI18"/>
  <c r="AI22"/>
  <c r="AI7"/>
  <c r="AK13"/>
  <c r="AK19"/>
  <c r="AO8"/>
  <c r="AN8"/>
  <c r="AO9"/>
  <c r="AN9"/>
  <c r="AO10"/>
  <c r="AN11"/>
  <c r="AO12"/>
  <c r="AN13"/>
  <c r="AO14"/>
  <c r="AN16"/>
  <c r="AO17"/>
  <c r="AN17"/>
  <c r="AO18"/>
  <c r="AN18"/>
  <c r="AO19"/>
  <c r="AN19"/>
  <c r="AO20"/>
  <c r="AN20"/>
  <c r="AO21"/>
  <c r="AN21"/>
  <c r="AO22"/>
  <c r="AN22"/>
  <c r="AO23"/>
  <c r="AN23"/>
  <c r="AO24"/>
  <c r="AQ9"/>
  <c r="AQ13"/>
  <c r="AQ15"/>
  <c r="AQ19"/>
  <c r="AQ23"/>
  <c r="AP10"/>
  <c r="AP14"/>
  <c r="AP18"/>
  <c r="AP22"/>
  <c r="AJ8"/>
  <c r="AJ12"/>
  <c r="AJ16"/>
  <c r="AJ20"/>
  <c r="AJ22"/>
  <c r="AI9"/>
  <c r="AI11"/>
  <c r="AI13"/>
  <c r="AI17"/>
  <c r="AI19"/>
  <c r="AI21"/>
  <c r="AI23"/>
  <c r="AK8"/>
  <c r="AK10"/>
  <c r="AK12"/>
  <c r="AK14"/>
  <c r="AK16"/>
  <c r="AK18"/>
  <c r="AK20"/>
  <c r="AK22"/>
  <c r="AK24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7"/>
  <c r="AM25" s="1"/>
  <c r="AK7"/>
  <c r="AQ8"/>
  <c r="AQ12"/>
  <c r="AQ16"/>
  <c r="AQ20"/>
  <c r="AQ24"/>
  <c r="AP11"/>
  <c r="AP15"/>
  <c r="AP19"/>
  <c r="AJ9"/>
  <c r="AJ13"/>
  <c r="AJ17"/>
  <c r="AJ21"/>
  <c r="AI8"/>
  <c r="AI12"/>
  <c r="AI16"/>
  <c r="AI20"/>
  <c r="AI24"/>
  <c r="AK9"/>
  <c r="AK11"/>
  <c r="AK15"/>
  <c r="AK17"/>
  <c r="AK21"/>
  <c r="AK23"/>
  <c r="AN10"/>
  <c r="AO11"/>
  <c r="AN12"/>
  <c r="AO13"/>
  <c r="AN14"/>
  <c r="AO15"/>
  <c r="AN15"/>
  <c r="AO16"/>
  <c r="AN24"/>
  <c r="AQ11"/>
  <c r="AQ17"/>
  <c r="AQ21"/>
  <c r="AP8"/>
  <c r="AP12"/>
  <c r="AP16"/>
  <c r="AP20"/>
  <c r="AP24"/>
  <c r="AJ10"/>
  <c r="AJ14"/>
  <c r="AJ18"/>
  <c r="AJ24"/>
  <c r="AI15"/>
  <c r="E12"/>
  <c r="E32" i="13"/>
  <c r="J31" i="12" s="1"/>
  <c r="L9" i="13"/>
  <c r="K9"/>
  <c r="AK25" i="18" l="1"/>
  <c r="AO25"/>
  <c r="AJ25"/>
  <c r="AP25"/>
  <c r="AN25"/>
  <c r="AQ25"/>
  <c r="E13"/>
  <c r="E31" i="16"/>
  <c r="J32" i="12" s="1"/>
  <c r="J34" s="1"/>
  <c r="M27" i="13"/>
  <c r="K27"/>
  <c r="M25"/>
  <c r="K25"/>
  <c r="M26"/>
  <c r="K26"/>
  <c r="M23"/>
  <c r="K23"/>
  <c r="M21"/>
  <c r="K21"/>
  <c r="M19"/>
  <c r="K19"/>
  <c r="M17"/>
  <c r="K17"/>
  <c r="M15"/>
  <c r="K15"/>
  <c r="M13"/>
  <c r="K13"/>
  <c r="K11"/>
  <c r="M24"/>
  <c r="K24"/>
  <c r="K22"/>
  <c r="M20"/>
  <c r="K20"/>
  <c r="K18"/>
  <c r="M16"/>
  <c r="K16"/>
  <c r="M14"/>
  <c r="K14"/>
  <c r="K12"/>
  <c r="K10"/>
  <c r="N13"/>
  <c r="N14"/>
  <c r="N15"/>
  <c r="N16"/>
  <c r="N17"/>
  <c r="N19"/>
  <c r="N20"/>
  <c r="N21"/>
  <c r="N22"/>
  <c r="N23"/>
  <c r="N25"/>
  <c r="N26"/>
  <c r="N27"/>
  <c r="E14" i="18" l="1"/>
  <c r="N11" i="13"/>
  <c r="N24"/>
  <c r="N18"/>
  <c r="N12"/>
  <c r="AC10" i="16"/>
  <c r="AC16"/>
  <c r="AC18"/>
  <c r="AC19"/>
  <c r="AC20"/>
  <c r="AC21"/>
  <c r="AC22"/>
  <c r="AC23"/>
  <c r="AC24"/>
  <c r="AC25"/>
  <c r="AC26"/>
  <c r="AC27"/>
  <c r="C11" i="11"/>
  <c r="C12"/>
  <c r="C13"/>
  <c r="C14"/>
  <c r="C15"/>
  <c r="C16"/>
  <c r="C17"/>
  <c r="C18"/>
  <c r="C19"/>
  <c r="C20"/>
  <c r="C21"/>
  <c r="C22"/>
  <c r="C23"/>
  <c r="C24"/>
  <c r="C25"/>
  <c r="C26"/>
  <c r="C27"/>
  <c r="B11"/>
  <c r="B12"/>
  <c r="B13"/>
  <c r="B14"/>
  <c r="B15"/>
  <c r="B16"/>
  <c r="B17"/>
  <c r="B18"/>
  <c r="B19"/>
  <c r="B20"/>
  <c r="B21"/>
  <c r="B22"/>
  <c r="B23"/>
  <c r="B24"/>
  <c r="B25"/>
  <c r="B26"/>
  <c r="B27"/>
  <c r="E15" i="18" l="1"/>
  <c r="N10" i="13"/>
  <c r="N9"/>
  <c r="E10" i="15"/>
  <c r="E11"/>
  <c r="E12"/>
  <c r="E13"/>
  <c r="E14"/>
  <c r="E15"/>
  <c r="E16"/>
  <c r="E17"/>
  <c r="E18"/>
  <c r="E19"/>
  <c r="E20"/>
  <c r="E21"/>
  <c r="E22"/>
  <c r="E23"/>
  <c r="E24"/>
  <c r="E25"/>
  <c r="E26"/>
  <c r="E27"/>
  <c r="E9"/>
  <c r="T26" i="16"/>
  <c r="U26"/>
  <c r="AD26"/>
  <c r="T27"/>
  <c r="U27"/>
  <c r="AD27"/>
  <c r="B27" i="10"/>
  <c r="I20" i="11"/>
  <c r="D20"/>
  <c r="E20"/>
  <c r="K20"/>
  <c r="D21"/>
  <c r="E21"/>
  <c r="I21"/>
  <c r="K21"/>
  <c r="I22"/>
  <c r="D22"/>
  <c r="E22"/>
  <c r="I23"/>
  <c r="D23"/>
  <c r="E23"/>
  <c r="I24"/>
  <c r="D24"/>
  <c r="E24"/>
  <c r="K25"/>
  <c r="D25"/>
  <c r="E25"/>
  <c r="I26"/>
  <c r="D26"/>
  <c r="E26"/>
  <c r="I27"/>
  <c r="D27"/>
  <c r="E27"/>
  <c r="A20"/>
  <c r="B19" i="10" s="1"/>
  <c r="A21" i="11"/>
  <c r="B20" i="10" s="1"/>
  <c r="A22" i="11"/>
  <c r="B21" i="10" s="1"/>
  <c r="A23" i="11"/>
  <c r="B22" i="10" s="1"/>
  <c r="A24" i="11"/>
  <c r="B23" i="10" s="1"/>
  <c r="A25" i="11"/>
  <c r="B24" i="10" s="1"/>
  <c r="A26" i="11"/>
  <c r="B25" i="10" s="1"/>
  <c r="A27" i="11"/>
  <c r="B26" i="10" s="1"/>
  <c r="A10" i="15"/>
  <c r="A11"/>
  <c r="A12"/>
  <c r="A13"/>
  <c r="A14"/>
  <c r="A15"/>
  <c r="A16"/>
  <c r="A17"/>
  <c r="A18"/>
  <c r="A19"/>
  <c r="A20"/>
  <c r="A21"/>
  <c r="A22"/>
  <c r="A23"/>
  <c r="A24"/>
  <c r="A25"/>
  <c r="A26"/>
  <c r="A27"/>
  <c r="A26" i="14"/>
  <c r="A26" i="13"/>
  <c r="V27" i="12"/>
  <c r="V28"/>
  <c r="U27"/>
  <c r="I27" i="15" s="1"/>
  <c r="U28" i="12"/>
  <c r="T27"/>
  <c r="F26" i="10" s="1"/>
  <c r="T28" i="12"/>
  <c r="F27" i="10" s="1"/>
  <c r="S27" i="12"/>
  <c r="S28"/>
  <c r="V10"/>
  <c r="V11"/>
  <c r="V12"/>
  <c r="V13"/>
  <c r="V14"/>
  <c r="V15"/>
  <c r="V16"/>
  <c r="V17"/>
  <c r="V18"/>
  <c r="V19"/>
  <c r="V20"/>
  <c r="V21"/>
  <c r="V22"/>
  <c r="V23"/>
  <c r="V24"/>
  <c r="V25"/>
  <c r="V26"/>
  <c r="V9"/>
  <c r="A10" i="14"/>
  <c r="A11"/>
  <c r="A12"/>
  <c r="A13"/>
  <c r="A14"/>
  <c r="A15"/>
  <c r="A16"/>
  <c r="A17"/>
  <c r="A18"/>
  <c r="A19"/>
  <c r="A20"/>
  <c r="A21"/>
  <c r="A22"/>
  <c r="A23"/>
  <c r="A24"/>
  <c r="A25"/>
  <c r="A27"/>
  <c r="AD10" i="16"/>
  <c r="AD11"/>
  <c r="AD12"/>
  <c r="AD13"/>
  <c r="AD14"/>
  <c r="AD15"/>
  <c r="AD16"/>
  <c r="AD17"/>
  <c r="AD18"/>
  <c r="AD19"/>
  <c r="AD20"/>
  <c r="AD21"/>
  <c r="AD22"/>
  <c r="AD23"/>
  <c r="AD24"/>
  <c r="AD25"/>
  <c r="U9"/>
  <c r="T9"/>
  <c r="X28" i="12"/>
  <c r="E16" i="18" l="1"/>
  <c r="D27" i="14"/>
  <c r="B27"/>
  <c r="E27"/>
  <c r="C27"/>
  <c r="X27" i="12"/>
  <c r="V27" i="16" s="1"/>
  <c r="AB27"/>
  <c r="C27" i="10"/>
  <c r="E27"/>
  <c r="D27"/>
  <c r="G21" i="11"/>
  <c r="H21" s="1"/>
  <c r="I25"/>
  <c r="N27" i="16"/>
  <c r="G25" i="11"/>
  <c r="H25" s="1"/>
  <c r="F24"/>
  <c r="K23"/>
  <c r="C26" i="10"/>
  <c r="G26" s="1"/>
  <c r="D26"/>
  <c r="E26"/>
  <c r="O27" i="16"/>
  <c r="K26" i="11"/>
  <c r="K22"/>
  <c r="F20"/>
  <c r="K27"/>
  <c r="F25"/>
  <c r="K24"/>
  <c r="F21"/>
  <c r="G20"/>
  <c r="H20" s="1"/>
  <c r="F27"/>
  <c r="P27" s="1"/>
  <c r="G27"/>
  <c r="H27" s="1"/>
  <c r="F26"/>
  <c r="P26" s="1"/>
  <c r="G26"/>
  <c r="H26" s="1"/>
  <c r="Q25"/>
  <c r="Q24"/>
  <c r="L27" i="10"/>
  <c r="K27"/>
  <c r="K26"/>
  <c r="L26"/>
  <c r="C27" i="15"/>
  <c r="B27"/>
  <c r="D27"/>
  <c r="G24" i="11"/>
  <c r="H24" s="1"/>
  <c r="F23"/>
  <c r="P23" s="1"/>
  <c r="G23"/>
  <c r="H23" s="1"/>
  <c r="F22"/>
  <c r="P22" s="1"/>
  <c r="G22"/>
  <c r="H22" s="1"/>
  <c r="J27"/>
  <c r="J26"/>
  <c r="J25"/>
  <c r="J24"/>
  <c r="J23"/>
  <c r="J22"/>
  <c r="J21"/>
  <c r="J20"/>
  <c r="H34" i="16"/>
  <c r="G34" i="10"/>
  <c r="D1" i="11"/>
  <c r="F40"/>
  <c r="C2" i="10"/>
  <c r="F2"/>
  <c r="E17" i="18" l="1"/>
  <c r="S27" i="16"/>
  <c r="T24" i="11"/>
  <c r="P24"/>
  <c r="R24" s="1"/>
  <c r="Q21"/>
  <c r="P21"/>
  <c r="T25"/>
  <c r="P25"/>
  <c r="R25" s="1"/>
  <c r="T20"/>
  <c r="P20"/>
  <c r="J26" i="10"/>
  <c r="T23" i="11"/>
  <c r="Q23"/>
  <c r="R27" i="16"/>
  <c r="Q27"/>
  <c r="Z27"/>
  <c r="AA27"/>
  <c r="Y27"/>
  <c r="Q20" i="11"/>
  <c r="T22"/>
  <c r="Q22"/>
  <c r="R22" s="1"/>
  <c r="T26"/>
  <c r="Q26"/>
  <c r="T27"/>
  <c r="Q27"/>
  <c r="R23"/>
  <c r="T21"/>
  <c r="R21"/>
  <c r="I26" i="10"/>
  <c r="M26" s="1"/>
  <c r="H26"/>
  <c r="J27"/>
  <c r="G27"/>
  <c r="H27"/>
  <c r="I27"/>
  <c r="M27" s="1"/>
  <c r="U10" i="16"/>
  <c r="U11"/>
  <c r="U12"/>
  <c r="U13"/>
  <c r="U14"/>
  <c r="U15"/>
  <c r="U16"/>
  <c r="U17"/>
  <c r="U18"/>
  <c r="U19"/>
  <c r="U20"/>
  <c r="U21"/>
  <c r="U22"/>
  <c r="U23"/>
  <c r="U24"/>
  <c r="U25"/>
  <c r="T10"/>
  <c r="T11"/>
  <c r="T12"/>
  <c r="T13"/>
  <c r="T14"/>
  <c r="T15"/>
  <c r="T16"/>
  <c r="T17"/>
  <c r="T18"/>
  <c r="T19"/>
  <c r="T20"/>
  <c r="T21"/>
  <c r="T22"/>
  <c r="T23"/>
  <c r="T24"/>
  <c r="T25"/>
  <c r="E18" i="18" l="1"/>
  <c r="R27" i="11"/>
  <c r="R26"/>
  <c r="R20"/>
  <c r="U10" i="12"/>
  <c r="I10" i="15" s="1"/>
  <c r="U11" i="12"/>
  <c r="I11" i="15" s="1"/>
  <c r="U12" i="12"/>
  <c r="I12" i="15" s="1"/>
  <c r="U13" i="12"/>
  <c r="I13" i="15" s="1"/>
  <c r="U14" i="12"/>
  <c r="I14" i="15" s="1"/>
  <c r="U15" i="12"/>
  <c r="I15" i="15" s="1"/>
  <c r="U16" i="12"/>
  <c r="I16" i="15" s="1"/>
  <c r="U17" i="12"/>
  <c r="I17" i="15" s="1"/>
  <c r="U18" i="12"/>
  <c r="I18" i="15" s="1"/>
  <c r="U19" i="12"/>
  <c r="I19" i="15" s="1"/>
  <c r="U20" i="12"/>
  <c r="I20" i="15" s="1"/>
  <c r="U21" i="12"/>
  <c r="I21" i="15" s="1"/>
  <c r="U22" i="12"/>
  <c r="I22" i="15" s="1"/>
  <c r="U23" i="12"/>
  <c r="I23" i="15" s="1"/>
  <c r="U24" i="12"/>
  <c r="I24" i="15" s="1"/>
  <c r="U25" i="12"/>
  <c r="I25" i="15" s="1"/>
  <c r="U26" i="12"/>
  <c r="I26" i="15" s="1"/>
  <c r="S10" i="12"/>
  <c r="S11"/>
  <c r="S12"/>
  <c r="S13"/>
  <c r="S14"/>
  <c r="S15"/>
  <c r="S16"/>
  <c r="S17"/>
  <c r="S18"/>
  <c r="S19"/>
  <c r="S20"/>
  <c r="S21"/>
  <c r="S22"/>
  <c r="S23"/>
  <c r="S24"/>
  <c r="S25"/>
  <c r="S26"/>
  <c r="T10"/>
  <c r="T11"/>
  <c r="T12"/>
  <c r="T13"/>
  <c r="T14"/>
  <c r="T15"/>
  <c r="T16"/>
  <c r="T17"/>
  <c r="T18"/>
  <c r="T19"/>
  <c r="T20"/>
  <c r="T21"/>
  <c r="T22"/>
  <c r="T23"/>
  <c r="T24"/>
  <c r="T25"/>
  <c r="T26"/>
  <c r="AD9" i="16"/>
  <c r="E19" i="18" l="1"/>
  <c r="D26" i="14"/>
  <c r="B26"/>
  <c r="E26"/>
  <c r="C26"/>
  <c r="E24"/>
  <c r="C24"/>
  <c r="D24"/>
  <c r="B24"/>
  <c r="D22"/>
  <c r="B22"/>
  <c r="E22"/>
  <c r="C22"/>
  <c r="E20"/>
  <c r="C20"/>
  <c r="D20"/>
  <c r="B20"/>
  <c r="D18"/>
  <c r="B18"/>
  <c r="E18"/>
  <c r="C18"/>
  <c r="E16"/>
  <c r="C16"/>
  <c r="D16"/>
  <c r="B16"/>
  <c r="D14"/>
  <c r="B14"/>
  <c r="E14"/>
  <c r="C14"/>
  <c r="E12"/>
  <c r="C12"/>
  <c r="D12"/>
  <c r="B12"/>
  <c r="E10"/>
  <c r="D10"/>
  <c r="B10"/>
  <c r="C10"/>
  <c r="E25"/>
  <c r="C25"/>
  <c r="D25"/>
  <c r="B25"/>
  <c r="D23"/>
  <c r="B23"/>
  <c r="E23"/>
  <c r="C23"/>
  <c r="E21"/>
  <c r="C21"/>
  <c r="D21"/>
  <c r="B21"/>
  <c r="B19"/>
  <c r="E19"/>
  <c r="C19"/>
  <c r="D19"/>
  <c r="D17"/>
  <c r="E17"/>
  <c r="C17"/>
  <c r="B17"/>
  <c r="AC17" i="16"/>
  <c r="E15" i="14"/>
  <c r="C15"/>
  <c r="D15"/>
  <c r="B15"/>
  <c r="AC15" i="16"/>
  <c r="D13" i="14"/>
  <c r="B13"/>
  <c r="E13"/>
  <c r="C13"/>
  <c r="E11"/>
  <c r="C11"/>
  <c r="D11"/>
  <c r="B11"/>
  <c r="AB25" i="16"/>
  <c r="AB26"/>
  <c r="AB23"/>
  <c r="AB24"/>
  <c r="AB22"/>
  <c r="AB21"/>
  <c r="AB20"/>
  <c r="AB19"/>
  <c r="AB18"/>
  <c r="AB17"/>
  <c r="AB13"/>
  <c r="AB12"/>
  <c r="F11" i="10"/>
  <c r="E11"/>
  <c r="D11"/>
  <c r="C11"/>
  <c r="F9"/>
  <c r="E9"/>
  <c r="D9"/>
  <c r="C9"/>
  <c r="C12" i="15"/>
  <c r="B12"/>
  <c r="D12"/>
  <c r="C10"/>
  <c r="B10"/>
  <c r="D10"/>
  <c r="F12" i="10"/>
  <c r="E12"/>
  <c r="D12"/>
  <c r="C12"/>
  <c r="F10"/>
  <c r="E10"/>
  <c r="D10"/>
  <c r="C10"/>
  <c r="C13" i="15"/>
  <c r="D13"/>
  <c r="B13"/>
  <c r="C11"/>
  <c r="D11"/>
  <c r="B11"/>
  <c r="AB16" i="16"/>
  <c r="AB14"/>
  <c r="F25" i="10"/>
  <c r="L25" s="1"/>
  <c r="E25"/>
  <c r="D25"/>
  <c r="C25"/>
  <c r="F23"/>
  <c r="L23" s="1"/>
  <c r="E23"/>
  <c r="D23"/>
  <c r="C23"/>
  <c r="F21"/>
  <c r="L21" s="1"/>
  <c r="E21"/>
  <c r="D21"/>
  <c r="C21"/>
  <c r="F19"/>
  <c r="E19"/>
  <c r="D19"/>
  <c r="C19"/>
  <c r="F17"/>
  <c r="E17"/>
  <c r="D17"/>
  <c r="C17"/>
  <c r="F15"/>
  <c r="E15"/>
  <c r="D15"/>
  <c r="C15"/>
  <c r="F13"/>
  <c r="E13"/>
  <c r="D13"/>
  <c r="C13"/>
  <c r="C20" i="15"/>
  <c r="B20"/>
  <c r="D20"/>
  <c r="C18"/>
  <c r="B18"/>
  <c r="D18"/>
  <c r="C16"/>
  <c r="B16"/>
  <c r="D16"/>
  <c r="C14"/>
  <c r="B14"/>
  <c r="D14"/>
  <c r="F24" i="10"/>
  <c r="K24" s="1"/>
  <c r="E24"/>
  <c r="D24"/>
  <c r="C24"/>
  <c r="F22"/>
  <c r="L22" s="1"/>
  <c r="E22"/>
  <c r="D22"/>
  <c r="C22"/>
  <c r="F20"/>
  <c r="E20"/>
  <c r="D20"/>
  <c r="C20"/>
  <c r="F18"/>
  <c r="E18"/>
  <c r="D18"/>
  <c r="C18"/>
  <c r="F16"/>
  <c r="E16"/>
  <c r="D16"/>
  <c r="C16"/>
  <c r="F14"/>
  <c r="E14"/>
  <c r="D14"/>
  <c r="C14"/>
  <c r="C21" i="15"/>
  <c r="D21"/>
  <c r="B21"/>
  <c r="C19"/>
  <c r="D19"/>
  <c r="B19"/>
  <c r="C17"/>
  <c r="D17"/>
  <c r="B17"/>
  <c r="C15"/>
  <c r="D15"/>
  <c r="B15"/>
  <c r="K23" i="10"/>
  <c r="X25" i="12"/>
  <c r="X23"/>
  <c r="D26" i="15"/>
  <c r="C26"/>
  <c r="B26"/>
  <c r="D24"/>
  <c r="C24"/>
  <c r="B24"/>
  <c r="D22"/>
  <c r="C22"/>
  <c r="B22"/>
  <c r="K25" i="10"/>
  <c r="K22"/>
  <c r="X26" i="12"/>
  <c r="X24"/>
  <c r="X22"/>
  <c r="D25" i="15"/>
  <c r="B25"/>
  <c r="C25"/>
  <c r="D23"/>
  <c r="B23"/>
  <c r="C23"/>
  <c r="X21" i="12"/>
  <c r="X20"/>
  <c r="X19"/>
  <c r="X18"/>
  <c r="X16"/>
  <c r="X17"/>
  <c r="X15"/>
  <c r="X14"/>
  <c r="X13"/>
  <c r="X12"/>
  <c r="X11"/>
  <c r="X10"/>
  <c r="E20" i="18" l="1"/>
  <c r="K21" i="10"/>
  <c r="L24"/>
  <c r="L20"/>
  <c r="K20"/>
  <c r="N26" i="16"/>
  <c r="V26"/>
  <c r="S26"/>
  <c r="O26"/>
  <c r="J20" i="10"/>
  <c r="G20"/>
  <c r="H20"/>
  <c r="I20"/>
  <c r="M20" s="1"/>
  <c r="J22"/>
  <c r="G22"/>
  <c r="G24"/>
  <c r="J24"/>
  <c r="V24" i="16"/>
  <c r="N24"/>
  <c r="S24"/>
  <c r="O24"/>
  <c r="J21" i="10"/>
  <c r="G21"/>
  <c r="J23"/>
  <c r="G23"/>
  <c r="J25"/>
  <c r="G25"/>
  <c r="O23" i="16"/>
  <c r="V23"/>
  <c r="S23"/>
  <c r="N23"/>
  <c r="H22" i="10"/>
  <c r="I22"/>
  <c r="M22" s="1"/>
  <c r="I24"/>
  <c r="M24" s="1"/>
  <c r="H24"/>
  <c r="V22" i="16"/>
  <c r="S22"/>
  <c r="O22"/>
  <c r="N22"/>
  <c r="H21" i="10"/>
  <c r="I21"/>
  <c r="M21" s="1"/>
  <c r="H23"/>
  <c r="I23"/>
  <c r="M23" s="1"/>
  <c r="H25"/>
  <c r="I25"/>
  <c r="M25" s="1"/>
  <c r="O25" i="16"/>
  <c r="V25"/>
  <c r="S25"/>
  <c r="N25"/>
  <c r="O21"/>
  <c r="V21"/>
  <c r="N21"/>
  <c r="S21"/>
  <c r="V20"/>
  <c r="S20"/>
  <c r="N20"/>
  <c r="O20"/>
  <c r="O19"/>
  <c r="V19"/>
  <c r="S19"/>
  <c r="N19"/>
  <c r="V17"/>
  <c r="S17"/>
  <c r="V18"/>
  <c r="S18"/>
  <c r="N18"/>
  <c r="O18"/>
  <c r="V15"/>
  <c r="S15"/>
  <c r="V16"/>
  <c r="S16"/>
  <c r="V13"/>
  <c r="S13"/>
  <c r="V14"/>
  <c r="S14"/>
  <c r="V12"/>
  <c r="S12"/>
  <c r="S11"/>
  <c r="V11"/>
  <c r="V10"/>
  <c r="S10"/>
  <c r="E11" i="11"/>
  <c r="E12"/>
  <c r="E13"/>
  <c r="E14"/>
  <c r="E15"/>
  <c r="E16"/>
  <c r="E17"/>
  <c r="E18"/>
  <c r="E19"/>
  <c r="E21" i="18" l="1"/>
  <c r="R19" i="16"/>
  <c r="R21"/>
  <c r="R25"/>
  <c r="R22"/>
  <c r="R23"/>
  <c r="R18"/>
  <c r="R20"/>
  <c r="R24"/>
  <c r="R26"/>
  <c r="AA12"/>
  <c r="Y12"/>
  <c r="N12" s="1"/>
  <c r="Z12"/>
  <c r="Z13"/>
  <c r="AA13"/>
  <c r="Q13" s="1"/>
  <c r="Y13"/>
  <c r="AA16"/>
  <c r="Q16" s="1"/>
  <c r="Y16"/>
  <c r="Z16"/>
  <c r="AA18"/>
  <c r="Y18"/>
  <c r="Q18"/>
  <c r="Z18"/>
  <c r="AA20"/>
  <c r="Y20"/>
  <c r="Q20"/>
  <c r="Z20"/>
  <c r="Q21"/>
  <c r="Z21"/>
  <c r="AA21"/>
  <c r="Y21"/>
  <c r="AA26"/>
  <c r="Y26"/>
  <c r="Q26"/>
  <c r="Z26"/>
  <c r="AA10"/>
  <c r="Y10"/>
  <c r="R10" s="1"/>
  <c r="Z10"/>
  <c r="Z11"/>
  <c r="AA11"/>
  <c r="Y11"/>
  <c r="N11" s="1"/>
  <c r="AA14"/>
  <c r="Y14"/>
  <c r="Z14"/>
  <c r="Z15"/>
  <c r="AA15"/>
  <c r="Y15"/>
  <c r="Z17"/>
  <c r="AA17"/>
  <c r="Y17"/>
  <c r="N17" s="1"/>
  <c r="Q19"/>
  <c r="Z19"/>
  <c r="AA19"/>
  <c r="Y19"/>
  <c r="Q25"/>
  <c r="Z25"/>
  <c r="AA25"/>
  <c r="Y25"/>
  <c r="AA22"/>
  <c r="Y22"/>
  <c r="Q22"/>
  <c r="Z22"/>
  <c r="Q23"/>
  <c r="Z23"/>
  <c r="AA23"/>
  <c r="Y23"/>
  <c r="AA24"/>
  <c r="Y24"/>
  <c r="Q24"/>
  <c r="Z24"/>
  <c r="AB15"/>
  <c r="R16"/>
  <c r="AB10"/>
  <c r="AC11"/>
  <c r="AC14"/>
  <c r="AC12"/>
  <c r="AC13"/>
  <c r="O12"/>
  <c r="AB11"/>
  <c r="G5"/>
  <c r="E22" i="18" l="1"/>
  <c r="R12" i="16"/>
  <c r="O10"/>
  <c r="Q12"/>
  <c r="R11"/>
  <c r="Q10"/>
  <c r="N10"/>
  <c r="O17"/>
  <c r="Q14"/>
  <c r="Q11"/>
  <c r="R17"/>
  <c r="Q17"/>
  <c r="O16"/>
  <c r="N14"/>
  <c r="N16"/>
  <c r="N13"/>
  <c r="N15"/>
  <c r="M9" i="13"/>
  <c r="O13" i="16"/>
  <c r="M22" i="13"/>
  <c r="M18"/>
  <c r="M11"/>
  <c r="M12"/>
  <c r="M10"/>
  <c r="A10"/>
  <c r="A11"/>
  <c r="A12"/>
  <c r="A13"/>
  <c r="A14"/>
  <c r="A15"/>
  <c r="A16"/>
  <c r="A17"/>
  <c r="A18"/>
  <c r="A19"/>
  <c r="A20"/>
  <c r="A21"/>
  <c r="A22"/>
  <c r="A23"/>
  <c r="A24"/>
  <c r="A25"/>
  <c r="A27"/>
  <c r="E23" i="18" l="1"/>
  <c r="O11" i="16"/>
  <c r="O14"/>
  <c r="Q15"/>
  <c r="R13"/>
  <c r="R14"/>
  <c r="B7" i="15"/>
  <c r="U9" i="12"/>
  <c r="I9" i="15" s="1"/>
  <c r="F31" s="1"/>
  <c r="F34"/>
  <c r="A9"/>
  <c r="E3"/>
  <c r="F34" i="14"/>
  <c r="A9"/>
  <c r="F5"/>
  <c r="E5"/>
  <c r="D5"/>
  <c r="E3"/>
  <c r="D5" i="13"/>
  <c r="E3"/>
  <c r="A9"/>
  <c r="D11" i="11"/>
  <c r="F11" s="1"/>
  <c r="P11" s="1"/>
  <c r="D12"/>
  <c r="D13"/>
  <c r="D14"/>
  <c r="D15"/>
  <c r="D16"/>
  <c r="D17"/>
  <c r="D18"/>
  <c r="D19"/>
  <c r="I11"/>
  <c r="I12"/>
  <c r="I13"/>
  <c r="I14"/>
  <c r="I15"/>
  <c r="I16"/>
  <c r="I17"/>
  <c r="I18"/>
  <c r="I19"/>
  <c r="A10"/>
  <c r="B9" i="10" s="1"/>
  <c r="A11" i="11"/>
  <c r="B10" i="10" s="1"/>
  <c r="A12" i="11"/>
  <c r="B11" i="10" s="1"/>
  <c r="A13" i="11"/>
  <c r="B12" i="10" s="1"/>
  <c r="A14" i="11"/>
  <c r="B13" i="10" s="1"/>
  <c r="A15" i="11"/>
  <c r="B14" i="10" s="1"/>
  <c r="A16" i="11"/>
  <c r="B15" i="10" s="1"/>
  <c r="A17" i="11"/>
  <c r="B16" i="10" s="1"/>
  <c r="A18" i="11"/>
  <c r="B17" i="10" s="1"/>
  <c r="A19" i="11"/>
  <c r="B18" i="10" s="1"/>
  <c r="A9" i="11"/>
  <c r="B8" i="10" s="1"/>
  <c r="H9"/>
  <c r="G10"/>
  <c r="H11"/>
  <c r="G12"/>
  <c r="H13"/>
  <c r="G14"/>
  <c r="H15"/>
  <c r="G16"/>
  <c r="H17"/>
  <c r="G18"/>
  <c r="H19"/>
  <c r="T9" i="12"/>
  <c r="S9"/>
  <c r="L19" i="10"/>
  <c r="L17"/>
  <c r="L15"/>
  <c r="L13"/>
  <c r="L11"/>
  <c r="L9"/>
  <c r="I18"/>
  <c r="I16"/>
  <c r="I14"/>
  <c r="I12"/>
  <c r="I10"/>
  <c r="J19"/>
  <c r="J17"/>
  <c r="J15"/>
  <c r="J13"/>
  <c r="J11"/>
  <c r="J9"/>
  <c r="K18"/>
  <c r="K16"/>
  <c r="K14"/>
  <c r="K12"/>
  <c r="K10"/>
  <c r="H16"/>
  <c r="K9"/>
  <c r="I11"/>
  <c r="M11" s="1"/>
  <c r="K11"/>
  <c r="H12"/>
  <c r="J12"/>
  <c r="G13"/>
  <c r="I13"/>
  <c r="M13" s="1"/>
  <c r="K13"/>
  <c r="H14"/>
  <c r="J14"/>
  <c r="L14"/>
  <c r="G15"/>
  <c r="I15"/>
  <c r="M15" s="1"/>
  <c r="K15"/>
  <c r="J16"/>
  <c r="L16"/>
  <c r="G17"/>
  <c r="I17"/>
  <c r="M17" s="1"/>
  <c r="K17"/>
  <c r="H18"/>
  <c r="J18"/>
  <c r="L18"/>
  <c r="G19"/>
  <c r="I19"/>
  <c r="M19" s="1"/>
  <c r="K19"/>
  <c r="Q10" i="11"/>
  <c r="K11"/>
  <c r="F12"/>
  <c r="P12" s="1"/>
  <c r="K12"/>
  <c r="F13"/>
  <c r="P13" s="1"/>
  <c r="K13"/>
  <c r="Q13"/>
  <c r="F14"/>
  <c r="K14"/>
  <c r="F15"/>
  <c r="P15" s="1"/>
  <c r="K15"/>
  <c r="F16"/>
  <c r="P16" s="1"/>
  <c r="K16"/>
  <c r="Q16"/>
  <c r="F17"/>
  <c r="K17"/>
  <c r="F18"/>
  <c r="P18" s="1"/>
  <c r="K18"/>
  <c r="F19"/>
  <c r="P19" s="1"/>
  <c r="K19"/>
  <c r="G9" i="10"/>
  <c r="Q19" i="11"/>
  <c r="Q18"/>
  <c r="Q15"/>
  <c r="J10" i="10"/>
  <c r="H10"/>
  <c r="I9"/>
  <c r="M9" s="1"/>
  <c r="E24" i="18" l="1"/>
  <c r="AH25" s="1"/>
  <c r="Q17" i="11"/>
  <c r="P17"/>
  <c r="Q14"/>
  <c r="P14"/>
  <c r="E9" i="14"/>
  <c r="C9"/>
  <c r="D9"/>
  <c r="B9"/>
  <c r="R15" i="16"/>
  <c r="O15"/>
  <c r="AC9"/>
  <c r="T15" i="11"/>
  <c r="R15"/>
  <c r="F8" i="10"/>
  <c r="E8"/>
  <c r="D8"/>
  <c r="C8"/>
  <c r="X9" i="12"/>
  <c r="S9" i="16" s="1"/>
  <c r="AB9"/>
  <c r="L12" i="10"/>
  <c r="X9" i="16"/>
  <c r="C9" i="15"/>
  <c r="Q9" i="11"/>
  <c r="R9" s="1"/>
  <c r="G11" i="10"/>
  <c r="M14"/>
  <c r="D9" i="15"/>
  <c r="B9"/>
  <c r="T14" i="11"/>
  <c r="T16"/>
  <c r="R16"/>
  <c r="J19"/>
  <c r="G19"/>
  <c r="H19" s="1"/>
  <c r="J17"/>
  <c r="G17"/>
  <c r="H17" s="1"/>
  <c r="J15"/>
  <c r="G15"/>
  <c r="H15" s="1"/>
  <c r="J13"/>
  <c r="G13"/>
  <c r="H13" s="1"/>
  <c r="J11"/>
  <c r="G11"/>
  <c r="H11" s="1"/>
  <c r="M16" i="10"/>
  <c r="J18" i="11"/>
  <c r="G18"/>
  <c r="H18" s="1"/>
  <c r="J16"/>
  <c r="G16"/>
  <c r="H16" s="1"/>
  <c r="J14"/>
  <c r="G14"/>
  <c r="H14" s="1"/>
  <c r="J12"/>
  <c r="G12"/>
  <c r="H12" s="1"/>
  <c r="M12" i="10"/>
  <c r="M18"/>
  <c r="R19" i="11"/>
  <c r="T19"/>
  <c r="R17"/>
  <c r="T17"/>
  <c r="R18"/>
  <c r="T18"/>
  <c r="R13"/>
  <c r="T13"/>
  <c r="T9"/>
  <c r="L10" i="10"/>
  <c r="M10"/>
  <c r="T12" i="11"/>
  <c r="Q12"/>
  <c r="T11"/>
  <c r="Q11"/>
  <c r="T10"/>
  <c r="R10"/>
  <c r="R14" l="1"/>
  <c r="V9" i="16"/>
  <c r="G8" i="10"/>
  <c r="J8"/>
  <c r="K8"/>
  <c r="Q8" s="1"/>
  <c r="L8"/>
  <c r="I8"/>
  <c r="M8" s="1"/>
  <c r="P8" s="1"/>
  <c r="H8"/>
  <c r="R12" i="11"/>
  <c r="R11"/>
  <c r="R8" i="10" l="1"/>
  <c r="R28" s="1"/>
  <c r="G31" s="1"/>
  <c r="AA9" i="16"/>
  <c r="Y9"/>
  <c r="N9" s="1"/>
  <c r="Z9"/>
  <c r="Q9" l="1"/>
  <c r="O9" l="1"/>
  <c r="R9"/>
  <c r="AI25" i="18"/>
  <c r="K29" s="1"/>
  <c r="G11"/>
  <c r="G8"/>
  <c r="G7"/>
  <c r="G21"/>
  <c r="G17"/>
  <c r="G12"/>
  <c r="G13"/>
  <c r="G10"/>
  <c r="G24"/>
  <c r="G16"/>
  <c r="G18"/>
  <c r="G14"/>
  <c r="G22"/>
  <c r="G19"/>
  <c r="G9"/>
  <c r="G23"/>
  <c r="G20"/>
  <c r="G15"/>
</calcChain>
</file>

<file path=xl/comments1.xml><?xml version="1.0" encoding="utf-8"?>
<comments xmlns="http://schemas.openxmlformats.org/spreadsheetml/2006/main">
  <authors>
    <author>fart</author>
  </authors>
  <commentList>
    <comment ref="N7" authorId="0">
      <text>
        <r>
          <rPr>
            <b/>
            <sz val="8"/>
            <color indexed="81"/>
            <rFont val="Tahoma"/>
            <family val="2"/>
            <charset val="204"/>
          </rPr>
          <t>fart:</t>
        </r>
        <r>
          <rPr>
            <sz val="8"/>
            <color indexed="81"/>
            <rFont val="Tahoma"/>
            <family val="2"/>
            <charset val="204"/>
          </rPr>
          <t xml:space="preserve">
переходник на круглое сечение</t>
        </r>
      </text>
    </comment>
  </commentList>
</comments>
</file>

<file path=xl/sharedStrings.xml><?xml version="1.0" encoding="utf-8"?>
<sst xmlns="http://schemas.openxmlformats.org/spreadsheetml/2006/main" count="399" uniqueCount="200">
  <si>
    <t>кол-во</t>
  </si>
  <si>
    <t>Заказ</t>
  </si>
  <si>
    <t>Гибка</t>
  </si>
  <si>
    <t>сетка</t>
  </si>
  <si>
    <t>Кол-во лопаток</t>
  </si>
  <si>
    <t>Кол-во углов В</t>
  </si>
  <si>
    <t>Кол-во углов А</t>
  </si>
  <si>
    <t>L - лопатки</t>
  </si>
  <si>
    <t>Лопатка (шт / 1)</t>
  </si>
  <si>
    <t>Угол (В)</t>
  </si>
  <si>
    <t>Угол (А)</t>
  </si>
  <si>
    <t>В (высота)</t>
  </si>
  <si>
    <t>А (ширина)</t>
  </si>
  <si>
    <t>№ заказа</t>
  </si>
  <si>
    <t>Рамка декоративная р 25</t>
  </si>
  <si>
    <t>выполнил</t>
  </si>
  <si>
    <t xml:space="preserve">Резка </t>
  </si>
  <si>
    <t>_________</t>
  </si>
  <si>
    <t>заготовка  до   .05.2012</t>
  </si>
  <si>
    <t>решетка</t>
  </si>
  <si>
    <t>мрп</t>
  </si>
  <si>
    <t>мастер                             Данилов В.В.</t>
  </si>
  <si>
    <t>н.ч.</t>
  </si>
  <si>
    <t>_____________________</t>
  </si>
  <si>
    <t>__________________</t>
  </si>
  <si>
    <t>Вырубка</t>
  </si>
  <si>
    <t>Выполнил</t>
  </si>
  <si>
    <t>Все размеры допускается округлять в большую сторону</t>
  </si>
  <si>
    <t>разметка</t>
  </si>
  <si>
    <t>b</t>
  </si>
  <si>
    <t>a</t>
  </si>
  <si>
    <t>"Выруб"</t>
  </si>
  <si>
    <t>В</t>
  </si>
  <si>
    <t>А</t>
  </si>
  <si>
    <t>Кол-во деталей к изготовлению</t>
  </si>
  <si>
    <t>N, число лопаток</t>
  </si>
  <si>
    <t>Кол-во клап</t>
  </si>
  <si>
    <t xml:space="preserve">Заказ №: </t>
  </si>
  <si>
    <t>КПУ-1Н</t>
  </si>
  <si>
    <t>тип клапана:</t>
  </si>
  <si>
    <t>Материал Оц 0,7</t>
  </si>
  <si>
    <t>МРП</t>
  </si>
  <si>
    <t>р25</t>
  </si>
  <si>
    <t>Труматик</t>
  </si>
  <si>
    <t>Корпус</t>
  </si>
  <si>
    <t>Сопроводительная №</t>
  </si>
  <si>
    <t>Сопроводительный лист  №</t>
  </si>
  <si>
    <t xml:space="preserve">на изготовление корпуса </t>
  </si>
  <si>
    <t>______________</t>
  </si>
  <si>
    <t>Талон для отрыва диспетчеру</t>
  </si>
  <si>
    <t>Задание выполнено полностью</t>
  </si>
  <si>
    <t>Рубка</t>
  </si>
  <si>
    <t>_________________</t>
  </si>
  <si>
    <t>Гибка        _________________</t>
  </si>
  <si>
    <t>Мастер     _________________</t>
  </si>
  <si>
    <t>на изготовление сетки к</t>
  </si>
  <si>
    <t>Размер А</t>
  </si>
  <si>
    <t>Размер В</t>
  </si>
  <si>
    <t>На вырубку корпуса</t>
  </si>
  <si>
    <t xml:space="preserve">на изготовление </t>
  </si>
  <si>
    <t>На вырубку холодного  корпуса</t>
  </si>
  <si>
    <t>Определ хол корпуса для кпу 1</t>
  </si>
  <si>
    <t>Определ хол корпуса для кпу 2</t>
  </si>
  <si>
    <t>Определ хол корпуса для кпу 3</t>
  </si>
  <si>
    <t>КПУ 1</t>
  </si>
  <si>
    <t>КПУ 2</t>
  </si>
  <si>
    <t>КПУ 3</t>
  </si>
  <si>
    <t>Выбор номера черт КПУ 2</t>
  </si>
  <si>
    <t>Кол-во стенок</t>
  </si>
  <si>
    <t>Сопроводительный лист №</t>
  </si>
  <si>
    <t>на вырубку монтажной рамы</t>
  </si>
  <si>
    <t>на вырубку сетки</t>
  </si>
  <si>
    <t>на вырубку лопатки</t>
  </si>
  <si>
    <t>на резку решетки</t>
  </si>
  <si>
    <t>Переходник</t>
  </si>
  <si>
    <t>переходник</t>
  </si>
  <si>
    <t>Определение наличия реш сетки перех</t>
  </si>
  <si>
    <t>кол-во клап</t>
  </si>
  <si>
    <t>11.08.2012 г.</t>
  </si>
  <si>
    <t>сечение</t>
  </si>
  <si>
    <t>Кол-во хол корп КПУ-1</t>
  </si>
  <si>
    <t>Кол-во хол корп КПУ-2</t>
  </si>
  <si>
    <t>Кол-во хол корп КПУ-3</t>
  </si>
  <si>
    <t>Труматик труд</t>
  </si>
  <si>
    <t>Гибка труд</t>
  </si>
  <si>
    <t>Труматик  труд выр корп</t>
  </si>
  <si>
    <t>Труд  выр переходника</t>
  </si>
  <si>
    <t>общее</t>
  </si>
  <si>
    <t>Лопатки, шт</t>
  </si>
  <si>
    <t>Сечение клапана</t>
  </si>
  <si>
    <t>ТЕКИ 07.277.03.00.101 Корпус лопатки ВАТА</t>
  </si>
  <si>
    <t>_______________(дата)</t>
  </si>
  <si>
    <t>1Ф</t>
  </si>
  <si>
    <t xml:space="preserve">срок изготовления </t>
  </si>
  <si>
    <t>Кол-во выполненых деталей</t>
  </si>
  <si>
    <t>Подпись исполниетля</t>
  </si>
  <si>
    <t>Подпись исполнителя</t>
  </si>
  <si>
    <t>Стр. 3/5</t>
  </si>
  <si>
    <t>Стр.4/5</t>
  </si>
  <si>
    <t>МРЗ</t>
  </si>
  <si>
    <t>общая</t>
  </si>
  <si>
    <t>_____________(дата)</t>
  </si>
  <si>
    <t>Вырубка общ</t>
  </si>
  <si>
    <t>__________________(дата)</t>
  </si>
  <si>
    <t>Стр. 1/4</t>
  </si>
  <si>
    <t>Стр. 2/4</t>
  </si>
  <si>
    <t>Стр.3/4</t>
  </si>
  <si>
    <t>Стр. 4/4</t>
  </si>
  <si>
    <t>Кол-во выполненых деталей Trumatic 2000R</t>
  </si>
  <si>
    <t>Кол-во выполненых деталей на гибке</t>
  </si>
  <si>
    <t>Кол-во выполненных деталей Тrumatic 2000R</t>
  </si>
  <si>
    <t>Кол-во выполненных деталей на гибке</t>
  </si>
  <si>
    <t>Кол-во выполненных деталей пила Gamma</t>
  </si>
  <si>
    <r>
      <t>а1</t>
    </r>
    <r>
      <rPr>
        <b/>
        <sz val="10"/>
        <rFont val="Arial Cyr"/>
        <charset val="204"/>
      </rPr>
      <t xml:space="preserve"> </t>
    </r>
    <r>
      <rPr>
        <b/>
        <sz val="7"/>
        <rFont val="Arial Cyr"/>
        <charset val="204"/>
      </rPr>
      <t>разв</t>
    </r>
  </si>
  <si>
    <r>
      <t>b1</t>
    </r>
    <r>
      <rPr>
        <b/>
        <sz val="10"/>
        <rFont val="Arial Cyr"/>
        <charset val="204"/>
      </rPr>
      <t xml:space="preserve"> </t>
    </r>
    <r>
      <rPr>
        <b/>
        <sz val="7"/>
        <rFont val="Arial Cyr"/>
        <charset val="204"/>
      </rPr>
      <t>разв</t>
    </r>
  </si>
  <si>
    <t>Упор</t>
  </si>
  <si>
    <t>малый                  ВГ 063.01.04.001</t>
  </si>
  <si>
    <t>большой  ВГ 063.01.03.001</t>
  </si>
  <si>
    <t>Противовес</t>
  </si>
  <si>
    <t>Лопатка</t>
  </si>
  <si>
    <t>Рычаг                                    ВГ  063.05.00.001</t>
  </si>
  <si>
    <t>Ребро                                 ВГ 063.02.00.002</t>
  </si>
  <si>
    <t>Ребро                                 ВГ 063.02.00.003</t>
  </si>
  <si>
    <t>Угол</t>
  </si>
  <si>
    <t>ВГ 063.00.00.014</t>
  </si>
  <si>
    <t>Кол-во</t>
  </si>
  <si>
    <t>Лопасть                              ВГ 063.02.00.001 (кол-во)</t>
  </si>
  <si>
    <t>Рычаг 212.02.00.001</t>
  </si>
  <si>
    <t>Упор                          ВГ 063.01.02.001</t>
  </si>
  <si>
    <t>Нормы</t>
  </si>
  <si>
    <t>Стенка верт размер Н ( ВГ 063.01.01.001)</t>
  </si>
  <si>
    <t>Стенка гор    Размер В (ВГ 063.01.00.001)</t>
  </si>
  <si>
    <t>Гибка:</t>
  </si>
  <si>
    <t>Общая</t>
  </si>
  <si>
    <t>Сопроводительный лист</t>
  </si>
  <si>
    <t>Участок TRUMPF</t>
  </si>
  <si>
    <t xml:space="preserve">Задание на вырубку  деталей. Trumpf </t>
  </si>
  <si>
    <t>№</t>
  </si>
  <si>
    <t>Заказ №</t>
  </si>
  <si>
    <t>Тип клапана</t>
  </si>
  <si>
    <t>Исполнение</t>
  </si>
  <si>
    <t>Стенка верт-я</t>
  </si>
  <si>
    <t>Стенка гор-я</t>
  </si>
  <si>
    <t>Материал</t>
  </si>
  <si>
    <t>Кол-во  комплектов</t>
  </si>
  <si>
    <t xml:space="preserve">Лопатка </t>
  </si>
  <si>
    <t>шт</t>
  </si>
  <si>
    <t>Исполняемый файл</t>
  </si>
  <si>
    <t>Маш. Время</t>
  </si>
  <si>
    <t>N раз</t>
  </si>
  <si>
    <t>Лист X*Y</t>
  </si>
  <si>
    <t>Итого:</t>
  </si>
  <si>
    <t>(_______________/_____________________)</t>
  </si>
  <si>
    <t>(Исполнитель\Дата)</t>
  </si>
  <si>
    <t xml:space="preserve">СОПРОВОДИТЕЛЬНЫЙ ЛИСТ №  </t>
  </si>
  <si>
    <t>Задание сформировал (диспетчер) _________________________________________</t>
  </si>
  <si>
    <t>Программы подготовил _______________________________________</t>
  </si>
  <si>
    <t>Оператор</t>
  </si>
  <si>
    <t>ОЦ</t>
  </si>
  <si>
    <t>Нерж</t>
  </si>
  <si>
    <t>Н высота</t>
  </si>
  <si>
    <t>В ширина</t>
  </si>
  <si>
    <t>Н</t>
  </si>
  <si>
    <t>Упор малый                  ВГ 063.01.04.001</t>
  </si>
  <si>
    <t>Упор большой                       ВГ 063.01.03.001</t>
  </si>
  <si>
    <t>Угол    ВГ 063.00.00.014</t>
  </si>
  <si>
    <t>H</t>
  </si>
  <si>
    <t xml:space="preserve">Задание на гибку  деталей. TruBend </t>
  </si>
  <si>
    <t xml:space="preserve">Участок TruBend </t>
  </si>
  <si>
    <t>Гибка н/ч</t>
  </si>
  <si>
    <t>Операция:</t>
  </si>
  <si>
    <t>Гибка     (___________/______________)</t>
  </si>
  <si>
    <t>Задание сфорсмровал (диспетчер) ________________</t>
  </si>
  <si>
    <t xml:space="preserve">Комплектовочный лист № </t>
  </si>
  <si>
    <t>Количество мест________________________________</t>
  </si>
  <si>
    <t xml:space="preserve">Комплектовщик заготовительного участка: </t>
  </si>
  <si>
    <t>Сдал: ________________  Дата_______________</t>
  </si>
  <si>
    <t xml:space="preserve">Комплектовщик сборочного  участка: </t>
  </si>
  <si>
    <t>L</t>
  </si>
  <si>
    <t>длина до 2 м</t>
  </si>
  <si>
    <t>длина св 2 м</t>
  </si>
  <si>
    <t>Кол-во гибов</t>
  </si>
  <si>
    <t>толщина металла</t>
  </si>
  <si>
    <t>0,55-1</t>
  </si>
  <si>
    <t>до 2</t>
  </si>
  <si>
    <t>св 2</t>
  </si>
  <si>
    <t>Стенка горизонтальная          ВГ 063.01.00.001</t>
  </si>
  <si>
    <t>Стенка вертикальная        ВГ 063.01.01.001</t>
  </si>
  <si>
    <t>Упор большой  ВГ 063.01.03.000</t>
  </si>
  <si>
    <t>Упор малый  ВГ 063.01.04.001</t>
  </si>
  <si>
    <t>Упор ВГ 063.01.02.001</t>
  </si>
  <si>
    <t>Лопатка ВГ 063.02.00.001</t>
  </si>
  <si>
    <t>Рычаг ВГ 212.02.00.001</t>
  </si>
  <si>
    <t>Ребро ВГ 063.02.00.002</t>
  </si>
  <si>
    <t>Рычаг ВГ 063.05.00.001</t>
  </si>
  <si>
    <t>Ребро ВГ 063.02.00.003</t>
  </si>
  <si>
    <t>Угол ВГ 06300.00.014</t>
  </si>
  <si>
    <t>Кол-во  деталей</t>
  </si>
  <si>
    <t>Кол-во деталей</t>
  </si>
  <si>
    <t>Количество деталей</t>
  </si>
</sst>
</file>

<file path=xl/styles.xml><?xml version="1.0" encoding="utf-8"?>
<styleSheet xmlns="http://schemas.openxmlformats.org/spreadsheetml/2006/main">
  <numFmts count="3">
    <numFmt numFmtId="44" formatCode="_-* #,##0.00&quot;р.&quot;_-;\-* #,##0.00&quot;р.&quot;_-;_-* &quot;-&quot;??&quot;р.&quot;_-;_-@_-"/>
    <numFmt numFmtId="164" formatCode="0.0"/>
    <numFmt numFmtId="165" formatCode="0.000"/>
  </numFmts>
  <fonts count="48">
    <font>
      <sz val="11"/>
      <color theme="1"/>
      <name val="Calibri"/>
      <family val="2"/>
      <charset val="204"/>
      <scheme val="minor"/>
    </font>
    <font>
      <sz val="12"/>
      <color indexed="8"/>
      <name val="Arial"/>
      <family val="2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4"/>
      <name val="Arial Cyr"/>
      <charset val="204"/>
    </font>
    <font>
      <b/>
      <sz val="14"/>
      <name val="Arial Cyr"/>
      <charset val="204"/>
    </font>
    <font>
      <sz val="12"/>
      <name val="Arial"/>
      <family val="2"/>
      <charset val="204"/>
    </font>
    <font>
      <b/>
      <sz val="12"/>
      <name val="Arial Cyr"/>
      <charset val="204"/>
    </font>
    <font>
      <b/>
      <sz val="7"/>
      <name val="Arial Cyr"/>
      <charset val="204"/>
    </font>
    <font>
      <sz val="11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rgb="FF000000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sz val="20"/>
      <color theme="1"/>
      <name val="Arial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7"/>
      <name val="Arial Cyr"/>
      <charset val="204"/>
    </font>
    <font>
      <strike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u/>
      <sz val="26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7"/>
      <color theme="1"/>
      <name val="Calibri"/>
      <family val="2"/>
      <charset val="204"/>
      <scheme val="minor"/>
    </font>
    <font>
      <sz val="25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b/>
      <sz val="48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" fillId="0" borderId="0"/>
  </cellStyleXfs>
  <cellXfs count="334">
    <xf numFmtId="0" fontId="0" fillId="0" borderId="0" xfId="0"/>
    <xf numFmtId="0" fontId="9" fillId="0" borderId="0" xfId="0" applyFont="1"/>
    <xf numFmtId="0" fontId="9" fillId="0" borderId="1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0" borderId="0" xfId="2"/>
    <xf numFmtId="0" fontId="2" fillId="0" borderId="0" xfId="2" applyAlignment="1">
      <alignment horizontal="center"/>
    </xf>
    <xf numFmtId="0" fontId="2" fillId="0" borderId="0" xfId="2" applyBorder="1"/>
    <xf numFmtId="164" fontId="2" fillId="0" borderId="0" xfId="2" applyNumberFormat="1" applyBorder="1" applyAlignment="1">
      <alignment horizontal="center"/>
    </xf>
    <xf numFmtId="0" fontId="3" fillId="0" borderId="0" xfId="2" applyFont="1" applyBorder="1" applyAlignment="1">
      <alignment horizontal="center"/>
    </xf>
    <xf numFmtId="1" fontId="2" fillId="0" borderId="0" xfId="2" applyNumberFormat="1" applyBorder="1"/>
    <xf numFmtId="0" fontId="2" fillId="0" borderId="0" xfId="2" applyBorder="1" applyAlignment="1"/>
    <xf numFmtId="0" fontId="2" fillId="0" borderId="0" xfId="2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2" fillId="0" borderId="0" xfId="2" applyBorder="1" applyAlignment="1">
      <alignment horizontal="center" wrapText="1"/>
    </xf>
    <xf numFmtId="0" fontId="2" fillId="0" borderId="0" xfId="2" applyBorder="1" applyAlignment="1">
      <alignment horizontal="center" vertical="center" wrapText="1"/>
    </xf>
    <xf numFmtId="0" fontId="2" fillId="0" borderId="0" xfId="2" applyBorder="1" applyAlignment="1">
      <alignment horizontal="left"/>
    </xf>
    <xf numFmtId="1" fontId="2" fillId="0" borderId="0" xfId="2" applyNumberFormat="1" applyBorder="1" applyAlignment="1"/>
    <xf numFmtId="0" fontId="2" fillId="0" borderId="0" xfId="2" applyBorder="1" applyAlignment="1">
      <alignment horizontal="center" vertical="center"/>
    </xf>
    <xf numFmtId="164" fontId="2" fillId="0" borderId="0" xfId="2" applyNumberFormat="1" applyFont="1" applyBorder="1" applyAlignment="1">
      <alignment horizontal="center"/>
    </xf>
    <xf numFmtId="0" fontId="4" fillId="0" borderId="0" xfId="2" applyFont="1" applyBorder="1"/>
    <xf numFmtId="165" fontId="2" fillId="0" borderId="0" xfId="2" applyNumberFormat="1"/>
    <xf numFmtId="165" fontId="2" fillId="0" borderId="0" xfId="2" applyNumberFormat="1" applyFont="1" applyBorder="1" applyAlignment="1">
      <alignment horizontal="center"/>
    </xf>
    <xf numFmtId="0" fontId="4" fillId="0" borderId="2" xfId="2" applyFont="1" applyBorder="1"/>
    <xf numFmtId="0" fontId="4" fillId="0" borderId="2" xfId="2" applyFont="1" applyBorder="1" applyAlignment="1">
      <alignment horizontal="center"/>
    </xf>
    <xf numFmtId="0" fontId="4" fillId="0" borderId="0" xfId="2" applyFont="1" applyBorder="1" applyAlignment="1">
      <alignment horizontal="right"/>
    </xf>
    <xf numFmtId="0" fontId="5" fillId="0" borderId="0" xfId="2" applyFont="1" applyBorder="1" applyAlignment="1"/>
    <xf numFmtId="0" fontId="4" fillId="0" borderId="0" xfId="2" applyFont="1" applyBorder="1" applyAlignment="1"/>
    <xf numFmtId="165" fontId="2" fillId="0" borderId="0" xfId="2" applyNumberFormat="1" applyBorder="1" applyAlignment="1">
      <alignment horizontal="left" wrapText="1"/>
    </xf>
    <xf numFmtId="165" fontId="2" fillId="0" borderId="0" xfId="2" applyNumberFormat="1" applyFont="1" applyBorder="1" applyAlignment="1">
      <alignment horizontal="left"/>
    </xf>
    <xf numFmtId="0" fontId="2" fillId="0" borderId="0" xfId="2" applyFont="1" applyBorder="1" applyAlignment="1">
      <alignment horizontal="left"/>
    </xf>
    <xf numFmtId="164" fontId="3" fillId="0" borderId="1" xfId="2" applyNumberFormat="1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11" fillId="0" borderId="1" xfId="2" applyFont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165" fontId="2" fillId="0" borderId="0" xfId="2" applyNumberFormat="1" applyFont="1"/>
    <xf numFmtId="0" fontId="7" fillId="0" borderId="1" xfId="2" applyFont="1" applyBorder="1" applyAlignment="1">
      <alignment horizontal="center"/>
    </xf>
    <xf numFmtId="0" fontId="2" fillId="0" borderId="0" xfId="2" applyFont="1" applyBorder="1" applyAlignment="1"/>
    <xf numFmtId="0" fontId="2" fillId="0" borderId="1" xfId="2" applyFont="1" applyBorder="1" applyAlignment="1"/>
    <xf numFmtId="0" fontId="2" fillId="0" borderId="1" xfId="2" applyBorder="1"/>
    <xf numFmtId="1" fontId="2" fillId="0" borderId="0" xfId="2" applyNumberFormat="1"/>
    <xf numFmtId="0" fontId="2" fillId="0" borderId="1" xfId="2" applyBorder="1" applyAlignment="1">
      <alignment horizontal="center"/>
    </xf>
    <xf numFmtId="0" fontId="2" fillId="0" borderId="3" xfId="2" applyBorder="1" applyAlignment="1">
      <alignment horizontal="left"/>
    </xf>
    <xf numFmtId="0" fontId="2" fillId="0" borderId="4" xfId="2" applyBorder="1" applyAlignment="1">
      <alignment horizontal="left"/>
    </xf>
    <xf numFmtId="0" fontId="2" fillId="0" borderId="0" xfId="2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2" applyFont="1"/>
    <xf numFmtId="0" fontId="14" fillId="0" borderId="0" xfId="0" applyFont="1"/>
    <xf numFmtId="0" fontId="0" fillId="0" borderId="1" xfId="0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6" fillId="0" borderId="0" xfId="0" applyFont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5" xfId="0" applyFont="1" applyBorder="1" applyAlignment="1">
      <alignment horizontal="center"/>
    </xf>
    <xf numFmtId="0" fontId="19" fillId="0" borderId="0" xfId="0" applyFont="1"/>
    <xf numFmtId="0" fontId="10" fillId="0" borderId="0" xfId="0" applyFont="1" applyAlignment="1">
      <alignment horizontal="center"/>
    </xf>
    <xf numFmtId="0" fontId="2" fillId="0" borderId="0" xfId="2" applyAlignment="1">
      <alignment horizontal="center"/>
    </xf>
    <xf numFmtId="0" fontId="2" fillId="0" borderId="1" xfId="2" applyBorder="1" applyAlignment="1">
      <alignment horizontal="center" vertical="center" textRotation="90" wrapText="1"/>
    </xf>
    <xf numFmtId="0" fontId="2" fillId="0" borderId="0" xfId="2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22" fillId="0" borderId="3" xfId="0" applyFont="1" applyBorder="1" applyAlignment="1">
      <alignment horizontal="center" vertical="center"/>
    </xf>
    <xf numFmtId="0" fontId="2" fillId="0" borderId="5" xfId="0" applyFont="1" applyBorder="1"/>
    <xf numFmtId="0" fontId="2" fillId="0" borderId="9" xfId="0" applyFont="1" applyBorder="1"/>
    <xf numFmtId="0" fontId="22" fillId="0" borderId="9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14" fontId="23" fillId="0" borderId="9" xfId="0" applyNumberFormat="1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" fillId="0" borderId="0" xfId="2" applyNumberFormat="1"/>
    <xf numFmtId="0" fontId="2" fillId="0" borderId="3" xfId="2" applyBorder="1"/>
    <xf numFmtId="0" fontId="22" fillId="0" borderId="1" xfId="0" applyFont="1" applyBorder="1" applyAlignment="1">
      <alignment horizontal="center" vertical="center"/>
    </xf>
    <xf numFmtId="0" fontId="2" fillId="0" borderId="6" xfId="2" applyBorder="1"/>
    <xf numFmtId="0" fontId="0" fillId="0" borderId="0" xfId="0" applyAlignment="1">
      <alignment horizontal="center" vertical="center" wrapText="1"/>
    </xf>
    <xf numFmtId="0" fontId="2" fillId="0" borderId="0" xfId="2" applyBorder="1" applyAlignment="1">
      <alignment wrapText="1"/>
    </xf>
    <xf numFmtId="0" fontId="2" fillId="0" borderId="0" xfId="2" applyBorder="1" applyAlignment="1">
      <alignment horizontal="center"/>
    </xf>
    <xf numFmtId="0" fontId="2" fillId="0" borderId="0" xfId="2" applyBorder="1" applyAlignment="1">
      <alignment horizontal="left"/>
    </xf>
    <xf numFmtId="0" fontId="2" fillId="0" borderId="0" xfId="2" applyFont="1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24" fillId="0" borderId="1" xfId="2" applyFont="1" applyBorder="1" applyAlignment="1">
      <alignment horizontal="center" vertical="center" wrapText="1"/>
    </xf>
    <xf numFmtId="0" fontId="2" fillId="0" borderId="0" xfId="2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5" fillId="0" borderId="0" xfId="0" applyFont="1"/>
    <xf numFmtId="0" fontId="2" fillId="2" borderId="1" xfId="2" applyFill="1" applyBorder="1" applyAlignment="1">
      <alignment horizontal="right"/>
    </xf>
    <xf numFmtId="0" fontId="3" fillId="2" borderId="1" xfId="2" applyFont="1" applyFill="1" applyBorder="1" applyAlignment="1">
      <alignment horizontal="right"/>
    </xf>
    <xf numFmtId="0" fontId="2" fillId="2" borderId="1" xfId="2" applyFill="1" applyBorder="1" applyAlignment="1">
      <alignment horizontal="center"/>
    </xf>
    <xf numFmtId="0" fontId="2" fillId="2" borderId="1" xfId="2" applyFill="1" applyBorder="1"/>
    <xf numFmtId="0" fontId="2" fillId="2" borderId="0" xfId="2" applyFill="1"/>
    <xf numFmtId="0" fontId="2" fillId="2" borderId="0" xfId="2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15" fillId="2" borderId="0" xfId="0" applyFont="1" applyFill="1"/>
    <xf numFmtId="0" fontId="0" fillId="2" borderId="0" xfId="0" applyFill="1" applyAlignment="1">
      <alignment horizontal="center"/>
    </xf>
    <xf numFmtId="0" fontId="0" fillId="0" borderId="7" xfId="0" applyBorder="1"/>
    <xf numFmtId="0" fontId="28" fillId="0" borderId="12" xfId="0" applyFont="1" applyBorder="1"/>
    <xf numFmtId="0" fontId="28" fillId="0" borderId="13" xfId="0" applyFont="1" applyFill="1" applyBorder="1"/>
    <xf numFmtId="0" fontId="28" fillId="0" borderId="13" xfId="0" applyFont="1" applyBorder="1"/>
    <xf numFmtId="0" fontId="28" fillId="0" borderId="14" xfId="0" applyFont="1" applyFill="1" applyBorder="1"/>
    <xf numFmtId="0" fontId="15" fillId="4" borderId="1" xfId="0" applyFont="1" applyFill="1" applyBorder="1" applyAlignment="1">
      <alignment horizontal="center" vertical="center" wrapText="1"/>
    </xf>
    <xf numFmtId="0" fontId="28" fillId="0" borderId="15" xfId="0" applyFont="1" applyBorder="1"/>
    <xf numFmtId="0" fontId="29" fillId="0" borderId="11" xfId="0" applyFont="1" applyBorder="1"/>
    <xf numFmtId="0" fontId="28" fillId="0" borderId="11" xfId="0" applyFont="1" applyBorder="1"/>
    <xf numFmtId="0" fontId="2" fillId="0" borderId="0" xfId="2" applyBorder="1" applyAlignment="1">
      <alignment horizontal="center"/>
    </xf>
    <xf numFmtId="0" fontId="0" fillId="0" borderId="0" xfId="0" applyBorder="1"/>
    <xf numFmtId="0" fontId="2" fillId="0" borderId="1" xfId="2" applyBorder="1" applyAlignment="1">
      <alignment horizontal="center" vertical="center" wrapText="1"/>
    </xf>
    <xf numFmtId="0" fontId="14" fillId="0" borderId="0" xfId="0" applyFont="1" applyAlignment="1">
      <alignment vertical="justify"/>
    </xf>
    <xf numFmtId="0" fontId="30" fillId="0" borderId="0" xfId="0" applyFont="1" applyAlignment="1">
      <alignment vertical="justify"/>
    </xf>
    <xf numFmtId="0" fontId="30" fillId="0" borderId="0" xfId="0" applyFont="1"/>
    <xf numFmtId="0" fontId="31" fillId="0" borderId="0" xfId="0" applyFont="1"/>
    <xf numFmtId="0" fontId="30" fillId="0" borderId="0" xfId="0" applyFont="1" applyAlignment="1">
      <alignment horizontal="left"/>
    </xf>
    <xf numFmtId="0" fontId="0" fillId="0" borderId="27" xfId="0" applyBorder="1"/>
    <xf numFmtId="0" fontId="0" fillId="0" borderId="23" xfId="0" applyBorder="1"/>
    <xf numFmtId="0" fontId="36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/>
    <xf numFmtId="0" fontId="30" fillId="0" borderId="0" xfId="0" applyFont="1" applyBorder="1"/>
    <xf numFmtId="0" fontId="38" fillId="0" borderId="0" xfId="0" applyFont="1" applyBorder="1"/>
    <xf numFmtId="0" fontId="38" fillId="0" borderId="0" xfId="0" applyFont="1"/>
    <xf numFmtId="0" fontId="35" fillId="0" borderId="0" xfId="0" applyFont="1" applyBorder="1"/>
    <xf numFmtId="0" fontId="0" fillId="0" borderId="11" xfId="0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40" fillId="0" borderId="0" xfId="0" applyFont="1"/>
    <xf numFmtId="0" fontId="2" fillId="0" borderId="0" xfId="0" applyFont="1" applyBorder="1" applyAlignment="1">
      <alignment horizontal="center" vertical="center" wrapText="1"/>
    </xf>
    <xf numFmtId="0" fontId="33" fillId="4" borderId="18" xfId="0" applyFont="1" applyFill="1" applyBorder="1" applyAlignment="1" applyProtection="1">
      <alignment horizontal="center" vertical="center" wrapText="1"/>
      <protection locked="0"/>
    </xf>
    <xf numFmtId="0" fontId="34" fillId="4" borderId="18" xfId="0" applyFont="1" applyFill="1" applyBorder="1" applyAlignment="1">
      <alignment horizontal="center" vertical="center" wrapText="1"/>
    </xf>
    <xf numFmtId="0" fontId="33" fillId="2" borderId="24" xfId="0" applyFont="1" applyFill="1" applyBorder="1" applyAlignment="1" applyProtection="1">
      <alignment horizontal="center" vertical="center" wrapText="1"/>
      <protection locked="0"/>
    </xf>
    <xf numFmtId="0" fontId="34" fillId="2" borderId="24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33" fillId="0" borderId="0" xfId="0" applyFont="1"/>
    <xf numFmtId="0" fontId="33" fillId="2" borderId="27" xfId="0" applyFont="1" applyFill="1" applyBorder="1"/>
    <xf numFmtId="0" fontId="33" fillId="2" borderId="23" xfId="0" applyFont="1" applyFill="1" applyBorder="1"/>
    <xf numFmtId="0" fontId="38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8" xfId="0" applyFont="1" applyBorder="1"/>
    <xf numFmtId="2" fontId="36" fillId="0" borderId="8" xfId="0" applyNumberFormat="1" applyFont="1" applyBorder="1"/>
    <xf numFmtId="0" fontId="36" fillId="0" borderId="8" xfId="0" applyFont="1" applyBorder="1"/>
    <xf numFmtId="0" fontId="16" fillId="0" borderId="0" xfId="0" applyFont="1" applyBorder="1" applyAlignment="1">
      <alignment horizontal="center"/>
    </xf>
    <xf numFmtId="0" fontId="34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/>
    </xf>
    <xf numFmtId="0" fontId="33" fillId="2" borderId="24" xfId="0" applyFont="1" applyFill="1" applyBorder="1" applyAlignment="1">
      <alignment horizontal="center"/>
    </xf>
    <xf numFmtId="0" fontId="33" fillId="2" borderId="18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 wrapText="1"/>
    </xf>
    <xf numFmtId="0" fontId="34" fillId="2" borderId="18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/>
    </xf>
    <xf numFmtId="0" fontId="33" fillId="2" borderId="20" xfId="0" applyFont="1" applyFill="1" applyBorder="1" applyAlignment="1">
      <alignment horizontal="center"/>
    </xf>
    <xf numFmtId="0" fontId="33" fillId="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 wrapText="1"/>
    </xf>
    <xf numFmtId="0" fontId="33" fillId="2" borderId="30" xfId="0" applyFont="1" applyFill="1" applyBorder="1" applyAlignment="1">
      <alignment horizontal="center"/>
    </xf>
    <xf numFmtId="0" fontId="33" fillId="2" borderId="24" xfId="0" applyFont="1" applyFill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3" fillId="2" borderId="26" xfId="0" applyFont="1" applyFill="1" applyBorder="1" applyAlignment="1">
      <alignment horizontal="center"/>
    </xf>
    <xf numFmtId="0" fontId="32" fillId="0" borderId="0" xfId="0" applyFont="1" applyBorder="1" applyAlignment="1"/>
    <xf numFmtId="0" fontId="33" fillId="0" borderId="0" xfId="0" applyFont="1" applyBorder="1" applyAlignment="1">
      <alignment horizontal="center" vertical="center"/>
    </xf>
    <xf numFmtId="0" fontId="33" fillId="2" borderId="17" xfId="0" applyFont="1" applyFill="1" applyBorder="1"/>
    <xf numFmtId="0" fontId="33" fillId="0" borderId="20" xfId="0" applyFont="1" applyBorder="1" applyAlignment="1">
      <alignment horizontal="center"/>
    </xf>
    <xf numFmtId="0" fontId="33" fillId="0" borderId="30" xfId="0" applyFont="1" applyBorder="1" applyAlignment="1">
      <alignment horizontal="center"/>
    </xf>
    <xf numFmtId="0" fontId="33" fillId="0" borderId="26" xfId="0" applyFont="1" applyBorder="1" applyAlignment="1">
      <alignment horizont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/>
    <xf numFmtId="0" fontId="31" fillId="0" borderId="0" xfId="0" applyFont="1" applyBorder="1" applyAlignment="1">
      <alignment horizontal="center"/>
    </xf>
    <xf numFmtId="0" fontId="45" fillId="0" borderId="0" xfId="0" applyFont="1" applyBorder="1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46" fillId="0" borderId="0" xfId="0" applyFont="1"/>
    <xf numFmtId="0" fontId="47" fillId="0" borderId="0" xfId="0" applyFont="1"/>
    <xf numFmtId="0" fontId="0" fillId="0" borderId="16" xfId="0" applyBorder="1"/>
    <xf numFmtId="0" fontId="0" fillId="0" borderId="22" xfId="0" applyBorder="1"/>
    <xf numFmtId="0" fontId="0" fillId="0" borderId="30" xfId="0" applyBorder="1"/>
    <xf numFmtId="0" fontId="0" fillId="0" borderId="3" xfId="0" applyBorder="1"/>
    <xf numFmtId="0" fontId="0" fillId="0" borderId="32" xfId="0" applyBorder="1"/>
    <xf numFmtId="0" fontId="0" fillId="0" borderId="24" xfId="0" applyBorder="1"/>
    <xf numFmtId="0" fontId="0" fillId="0" borderId="26" xfId="0" applyBorder="1"/>
    <xf numFmtId="0" fontId="0" fillId="0" borderId="31" xfId="0" applyBorder="1"/>
    <xf numFmtId="0" fontId="35" fillId="4" borderId="1" xfId="0" applyFont="1" applyFill="1" applyBorder="1" applyAlignment="1">
      <alignment horizontal="center" vertical="center" wrapText="1"/>
    </xf>
    <xf numFmtId="0" fontId="28" fillId="0" borderId="0" xfId="0" applyFont="1" applyBorder="1"/>
    <xf numFmtId="0" fontId="0" fillId="4" borderId="6" xfId="0" applyFill="1" applyBorder="1" applyAlignment="1">
      <alignment horizontal="center" vertical="center" wrapText="1"/>
    </xf>
    <xf numFmtId="0" fontId="0" fillId="0" borderId="6" xfId="0" applyBorder="1"/>
    <xf numFmtId="0" fontId="28" fillId="0" borderId="34" xfId="0" applyFont="1" applyFill="1" applyBorder="1"/>
    <xf numFmtId="0" fontId="33" fillId="0" borderId="1" xfId="0" applyFont="1" applyBorder="1"/>
    <xf numFmtId="0" fontId="33" fillId="0" borderId="6" xfId="0" applyFont="1" applyBorder="1"/>
    <xf numFmtId="0" fontId="0" fillId="0" borderId="35" xfId="0" applyBorder="1"/>
    <xf numFmtId="0" fontId="33" fillId="4" borderId="18" xfId="0" applyFont="1" applyFill="1" applyBorder="1" applyAlignment="1" applyProtection="1">
      <alignment horizontal="center" vertical="center" textRotation="90" wrapText="1"/>
      <protection locked="0"/>
    </xf>
    <xf numFmtId="0" fontId="34" fillId="4" borderId="18" xfId="0" applyFont="1" applyFill="1" applyBorder="1" applyAlignment="1">
      <alignment vertical="center" wrapText="1"/>
    </xf>
    <xf numFmtId="0" fontId="33" fillId="4" borderId="18" xfId="0" applyFont="1" applyFill="1" applyBorder="1" applyAlignment="1">
      <alignment horizontal="center" vertical="center" wrapText="1"/>
    </xf>
    <xf numFmtId="0" fontId="33" fillId="2" borderId="24" xfId="0" applyFont="1" applyFill="1" applyBorder="1" applyAlignment="1" applyProtection="1">
      <alignment horizontal="center" vertical="center" textRotation="90" wrapText="1"/>
      <protection locked="0"/>
    </xf>
    <xf numFmtId="0" fontId="35" fillId="5" borderId="24" xfId="0" applyFont="1" applyFill="1" applyBorder="1" applyAlignment="1">
      <alignment horizontal="center" vertical="center" wrapText="1"/>
    </xf>
    <xf numFmtId="0" fontId="35" fillId="5" borderId="26" xfId="0" applyFont="1" applyFill="1" applyBorder="1" applyAlignment="1">
      <alignment horizontal="center" vertical="center" wrapText="1"/>
    </xf>
    <xf numFmtId="0" fontId="35" fillId="2" borderId="24" xfId="0" applyFont="1" applyFill="1" applyBorder="1" applyAlignment="1">
      <alignment horizontal="center" vertical="center" wrapText="1"/>
    </xf>
    <xf numFmtId="0" fontId="35" fillId="2" borderId="26" xfId="0" applyFont="1" applyFill="1" applyBorder="1" applyAlignment="1">
      <alignment horizontal="center" vertical="center" wrapText="1"/>
    </xf>
    <xf numFmtId="0" fontId="33" fillId="0" borderId="17" xfId="0" applyFont="1" applyFill="1" applyBorder="1"/>
    <xf numFmtId="0" fontId="33" fillId="0" borderId="18" xfId="0" applyFont="1" applyFill="1" applyBorder="1" applyAlignment="1">
      <alignment horizontal="center" vertical="center"/>
    </xf>
    <xf numFmtId="0" fontId="34" fillId="0" borderId="18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/>
    </xf>
    <xf numFmtId="0" fontId="33" fillId="0" borderId="20" xfId="0" applyFont="1" applyFill="1" applyBorder="1" applyAlignment="1">
      <alignment horizontal="center"/>
    </xf>
    <xf numFmtId="0" fontId="33" fillId="0" borderId="27" xfId="0" applyFont="1" applyFill="1" applyBorder="1"/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3" fillId="0" borderId="30" xfId="0" applyFont="1" applyFill="1" applyBorder="1" applyAlignment="1">
      <alignment horizontal="center"/>
    </xf>
    <xf numFmtId="0" fontId="33" fillId="0" borderId="23" xfId="0" applyFont="1" applyFill="1" applyBorder="1"/>
    <xf numFmtId="0" fontId="33" fillId="0" borderId="24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 wrapText="1"/>
    </xf>
    <xf numFmtId="0" fontId="34" fillId="0" borderId="24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" fillId="0" borderId="0" xfId="2" applyFont="1" applyBorder="1" applyAlignment="1">
      <alignment horizontal="right"/>
    </xf>
    <xf numFmtId="0" fontId="2" fillId="0" borderId="0" xfId="2" applyBorder="1" applyAlignment="1">
      <alignment horizontal="left"/>
    </xf>
    <xf numFmtId="0" fontId="2" fillId="0" borderId="0" xfId="2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" xfId="2" applyBorder="1" applyAlignment="1">
      <alignment horizontal="left"/>
    </xf>
    <xf numFmtId="0" fontId="2" fillId="0" borderId="0" xfId="2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0" xfId="2" applyFont="1" applyBorder="1" applyAlignment="1">
      <alignment horizontal="left"/>
    </xf>
    <xf numFmtId="0" fontId="2" fillId="2" borderId="1" xfId="2" applyFill="1" applyBorder="1" applyAlignment="1"/>
    <xf numFmtId="1" fontId="2" fillId="0" borderId="0" xfId="2" applyNumberFormat="1" applyAlignment="1">
      <alignment horizontal="center"/>
    </xf>
    <xf numFmtId="1" fontId="2" fillId="0" borderId="0" xfId="2" applyNumberFormat="1" applyFont="1" applyAlignment="1">
      <alignment horizontal="center"/>
    </xf>
    <xf numFmtId="0" fontId="2" fillId="0" borderId="6" xfId="2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4" fillId="0" borderId="0" xfId="2" applyFont="1" applyBorder="1" applyAlignment="1"/>
    <xf numFmtId="44" fontId="5" fillId="0" borderId="0" xfId="1" applyFont="1" applyBorder="1" applyAlignment="1">
      <alignment horizontal="center"/>
    </xf>
    <xf numFmtId="0" fontId="2" fillId="0" borderId="7" xfId="2" applyBorder="1" applyAlignment="1">
      <alignment horizontal="center" wrapText="1"/>
    </xf>
    <xf numFmtId="0" fontId="2" fillId="0" borderId="5" xfId="2" applyBorder="1" applyAlignment="1">
      <alignment horizontal="center" wrapText="1"/>
    </xf>
    <xf numFmtId="0" fontId="9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33" fillId="4" borderId="18" xfId="0" applyFont="1" applyFill="1" applyBorder="1" applyAlignment="1" applyProtection="1">
      <alignment horizontal="center" vertical="center" wrapText="1"/>
      <protection locked="0"/>
    </xf>
    <xf numFmtId="0" fontId="33" fillId="4" borderId="24" xfId="0" applyFont="1" applyFill="1" applyBorder="1" applyAlignment="1" applyProtection="1">
      <alignment horizontal="center" vertical="center" wrapText="1"/>
      <protection locked="0"/>
    </xf>
    <xf numFmtId="0" fontId="33" fillId="4" borderId="17" xfId="0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3" fillId="4" borderId="18" xfId="0" applyFont="1" applyFill="1" applyBorder="1" applyAlignment="1" applyProtection="1">
      <alignment horizontal="center" vertical="center" textRotation="90" wrapText="1"/>
      <protection locked="0"/>
    </xf>
    <xf numFmtId="0" fontId="33" fillId="4" borderId="24" xfId="0" applyFont="1" applyFill="1" applyBorder="1" applyAlignment="1" applyProtection="1">
      <alignment horizontal="center" vertical="center" textRotation="90" wrapText="1"/>
      <protection locked="0"/>
    </xf>
    <xf numFmtId="0" fontId="34" fillId="4" borderId="18" xfId="0" applyFont="1" applyFill="1" applyBorder="1" applyAlignment="1">
      <alignment horizontal="center" vertical="center" wrapText="1"/>
    </xf>
    <xf numFmtId="0" fontId="34" fillId="4" borderId="24" xfId="0" applyFont="1" applyFill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7" fillId="0" borderId="23" xfId="0" applyFont="1" applyBorder="1" applyAlignment="1">
      <alignment horizontal="center"/>
    </xf>
    <xf numFmtId="0" fontId="37" fillId="0" borderId="24" xfId="0" applyFont="1" applyBorder="1" applyAlignment="1">
      <alignment horizontal="center"/>
    </xf>
    <xf numFmtId="0" fontId="33" fillId="0" borderId="25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7" fillId="0" borderId="27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33" fillId="4" borderId="18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textRotation="90"/>
    </xf>
    <xf numFmtId="0" fontId="16" fillId="0" borderId="0" xfId="0" applyFont="1" applyAlignment="1">
      <alignment horizontal="center" textRotation="90"/>
    </xf>
    <xf numFmtId="0" fontId="16" fillId="0" borderId="0" xfId="0" applyFont="1" applyBorder="1" applyAlignment="1">
      <alignment horizontal="center" textRotation="90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43" fillId="0" borderId="0" xfId="0" applyFont="1" applyAlignment="1">
      <alignment horizontal="center" textRotation="90"/>
    </xf>
    <xf numFmtId="0" fontId="32" fillId="0" borderId="0" xfId="0" applyFont="1" applyBorder="1" applyAlignment="1">
      <alignment horizontal="center"/>
    </xf>
    <xf numFmtId="0" fontId="33" fillId="0" borderId="17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0" borderId="19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0" fillId="0" borderId="0" xfId="0" applyFont="1" applyAlignment="1">
      <alignment horizontal="center" textRotation="90"/>
    </xf>
    <xf numFmtId="0" fontId="33" fillId="0" borderId="0" xfId="0" applyFont="1" applyAlignment="1">
      <alignment horizontal="center" textRotation="90"/>
    </xf>
    <xf numFmtId="0" fontId="41" fillId="0" borderId="0" xfId="0" applyFont="1" applyAlignment="1">
      <alignment horizontal="center" textRotation="90"/>
    </xf>
    <xf numFmtId="0" fontId="42" fillId="0" borderId="0" xfId="0" applyFont="1" applyAlignment="1">
      <alignment horizontal="center" textRotation="90"/>
    </xf>
    <xf numFmtId="0" fontId="44" fillId="0" borderId="0" xfId="0" applyFont="1" applyAlignment="1">
      <alignment horizontal="left" textRotation="90"/>
    </xf>
    <xf numFmtId="0" fontId="46" fillId="0" borderId="0" xfId="0" applyFont="1" applyAlignment="1">
      <alignment horizontal="center" vertical="top" textRotation="90"/>
    </xf>
    <xf numFmtId="0" fontId="37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left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Денежный 2" xfId="1"/>
    <cellStyle name="Обычный" xfId="0" builtinId="0"/>
    <cellStyle name="Обычный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4"/>
  <sheetViews>
    <sheetView tabSelected="1" workbookViewId="0">
      <selection activeCell="H6" sqref="H6"/>
    </sheetView>
  </sheetViews>
  <sheetFormatPr defaultRowHeight="12.75"/>
  <cols>
    <col min="1" max="1" width="9.140625" style="8"/>
    <col min="2" max="2" width="8.42578125" style="8" customWidth="1"/>
    <col min="3" max="3" width="4.5703125" style="8" customWidth="1"/>
    <col min="4" max="4" width="2.85546875" style="8" customWidth="1"/>
    <col min="5" max="5" width="3" style="8" customWidth="1"/>
    <col min="6" max="6" width="3.140625" style="8" customWidth="1"/>
    <col min="7" max="7" width="6.85546875" style="8" customWidth="1"/>
    <col min="8" max="8" width="7.28515625" style="8" customWidth="1"/>
    <col min="9" max="9" width="3.7109375" style="8" customWidth="1"/>
    <col min="10" max="10" width="3.28515625" style="8" customWidth="1"/>
    <col min="11" max="11" width="6.42578125" style="8" customWidth="1"/>
    <col min="12" max="12" width="3.42578125" style="8" customWidth="1"/>
    <col min="13" max="13" width="3" style="8" customWidth="1"/>
    <col min="14" max="14" width="3.7109375" style="8" customWidth="1"/>
    <col min="15" max="15" width="7" style="8" customWidth="1"/>
    <col min="16" max="18" width="9.140625" style="8"/>
    <col min="19" max="23" width="0" style="8" hidden="1" customWidth="1"/>
    <col min="24" max="24" width="15.28515625" style="8" hidden="1" customWidth="1"/>
    <col min="25" max="16384" width="9.140625" style="8"/>
  </cols>
  <sheetData>
    <row r="1" spans="1:28">
      <c r="C1" s="9"/>
      <c r="D1" s="9"/>
      <c r="E1" s="9"/>
      <c r="F1" s="9"/>
      <c r="G1" s="9"/>
    </row>
    <row r="2" spans="1:28">
      <c r="A2" s="45" t="s">
        <v>158</v>
      </c>
      <c r="C2" s="151"/>
      <c r="D2" s="9"/>
      <c r="E2" s="9"/>
      <c r="F2" s="9"/>
      <c r="G2" s="9"/>
      <c r="P2" s="8" t="s">
        <v>104</v>
      </c>
    </row>
    <row r="3" spans="1:28">
      <c r="A3" s="45" t="s">
        <v>159</v>
      </c>
      <c r="C3" s="129"/>
      <c r="D3" s="9"/>
      <c r="E3" s="9"/>
      <c r="F3" s="9"/>
      <c r="G3" s="9"/>
    </row>
    <row r="4" spans="1:28">
      <c r="C4" s="129"/>
      <c r="D4" s="9"/>
      <c r="E4" s="9"/>
      <c r="F4" s="9"/>
      <c r="G4" s="129"/>
    </row>
    <row r="5" spans="1:28">
      <c r="C5" s="9"/>
      <c r="D5" s="9"/>
      <c r="E5" s="9"/>
      <c r="F5" s="9"/>
      <c r="G5" s="9"/>
    </row>
    <row r="6" spans="1:28" ht="18">
      <c r="A6" s="57" t="s">
        <v>45</v>
      </c>
      <c r="H6" s="57"/>
    </row>
    <row r="7" spans="1:28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</row>
    <row r="8" spans="1:28" ht="64.5" customHeight="1">
      <c r="A8" s="51" t="s">
        <v>1</v>
      </c>
      <c r="B8" s="51"/>
      <c r="C8" s="51"/>
      <c r="D8" s="51"/>
      <c r="E8" s="51"/>
      <c r="F8" s="51"/>
      <c r="G8" s="131" t="s">
        <v>160</v>
      </c>
      <c r="H8" s="131" t="s">
        <v>161</v>
      </c>
      <c r="I8" s="51"/>
      <c r="J8" s="51"/>
      <c r="K8" s="51" t="s">
        <v>42</v>
      </c>
      <c r="L8" s="51" t="s">
        <v>3</v>
      </c>
      <c r="M8" s="51"/>
      <c r="N8" s="74" t="s">
        <v>75</v>
      </c>
      <c r="O8" s="74" t="s">
        <v>79</v>
      </c>
      <c r="P8" s="51" t="s">
        <v>20</v>
      </c>
      <c r="Q8" s="51" t="s">
        <v>0</v>
      </c>
      <c r="R8" s="131" t="s">
        <v>143</v>
      </c>
      <c r="S8" s="50" t="s">
        <v>3</v>
      </c>
      <c r="T8" s="50" t="s">
        <v>19</v>
      </c>
      <c r="U8" s="50" t="s">
        <v>41</v>
      </c>
      <c r="V8" s="50" t="s">
        <v>74</v>
      </c>
      <c r="W8" s="50"/>
      <c r="X8" s="50" t="s">
        <v>76</v>
      </c>
      <c r="Y8" s="50"/>
      <c r="Z8" s="50"/>
      <c r="AA8" s="50"/>
      <c r="AB8" s="50"/>
    </row>
    <row r="9" spans="1:28" ht="15">
      <c r="A9" s="77"/>
      <c r="B9" s="78"/>
      <c r="C9" s="79"/>
      <c r="D9" s="79"/>
      <c r="E9" s="80"/>
      <c r="F9" s="80"/>
      <c r="G9" s="80"/>
      <c r="H9" s="80"/>
      <c r="I9" s="79"/>
      <c r="J9" s="79"/>
      <c r="K9" s="52"/>
      <c r="L9" s="47"/>
      <c r="M9" s="80"/>
      <c r="N9" s="80"/>
      <c r="O9" s="80"/>
      <c r="P9" s="47"/>
      <c r="Q9" s="80"/>
      <c r="R9" s="47"/>
      <c r="S9" s="9">
        <f t="shared" ref="S9:S28" si="0">IF(L9=$C$3,1,0)</f>
        <v>1</v>
      </c>
      <c r="T9" s="9">
        <f t="shared" ref="T9:T28" si="1">IF(K9=$C$2,1,0)</f>
        <v>1</v>
      </c>
      <c r="U9" s="9">
        <f>IF(P9=$C$4,1,IF(P9=$G$4,1,0))</f>
        <v>1</v>
      </c>
      <c r="V9" s="9">
        <f>IF(N9=1,1,IF(N9=2,2,0))</f>
        <v>0</v>
      </c>
      <c r="X9" s="73">
        <f>IF(OR( S9=1, T9=1, V9),1,0)</f>
        <v>1</v>
      </c>
      <c r="Y9" s="91"/>
    </row>
    <row r="10" spans="1:28" ht="15">
      <c r="A10" s="77"/>
      <c r="B10" s="78"/>
      <c r="C10" s="79"/>
      <c r="D10" s="79"/>
      <c r="E10" s="80"/>
      <c r="F10" s="80"/>
      <c r="G10" s="80"/>
      <c r="H10" s="80"/>
      <c r="I10" s="79"/>
      <c r="J10" s="79"/>
      <c r="K10" s="52"/>
      <c r="L10" s="47"/>
      <c r="M10" s="80"/>
      <c r="N10" s="80"/>
      <c r="O10" s="80"/>
      <c r="P10" s="47"/>
      <c r="Q10" s="80"/>
      <c r="R10" s="47"/>
      <c r="S10" s="9">
        <f t="shared" si="0"/>
        <v>1</v>
      </c>
      <c r="T10" s="9">
        <f t="shared" si="1"/>
        <v>1</v>
      </c>
      <c r="U10" s="9">
        <f t="shared" ref="U10:U28" si="2">IF(P10=$C$4,1,IF(P10=$G$4,1,0))</f>
        <v>1</v>
      </c>
      <c r="V10" s="73">
        <f t="shared" ref="V10:V28" si="3">IF(N10=1,1,IF(N10=2,2,0))</f>
        <v>0</v>
      </c>
      <c r="X10" s="73">
        <f t="shared" ref="X10:X28" si="4">IF(OR( S10=1, T10=1, V10),1,0)</f>
        <v>1</v>
      </c>
    </row>
    <row r="11" spans="1:28" ht="15">
      <c r="A11" s="77"/>
      <c r="B11" s="78"/>
      <c r="C11" s="79"/>
      <c r="D11" s="79"/>
      <c r="E11" s="80"/>
      <c r="F11" s="80"/>
      <c r="G11" s="80"/>
      <c r="H11" s="80"/>
      <c r="I11" s="79"/>
      <c r="J11" s="79"/>
      <c r="K11" s="52"/>
      <c r="L11" s="47"/>
      <c r="M11" s="80"/>
      <c r="N11" s="80"/>
      <c r="O11" s="80"/>
      <c r="P11" s="47"/>
      <c r="Q11" s="80"/>
      <c r="R11" s="47"/>
      <c r="S11" s="9">
        <f t="shared" si="0"/>
        <v>1</v>
      </c>
      <c r="T11" s="9">
        <f t="shared" si="1"/>
        <v>1</v>
      </c>
      <c r="U11" s="9">
        <f t="shared" si="2"/>
        <v>1</v>
      </c>
      <c r="V11" s="73">
        <f t="shared" si="3"/>
        <v>0</v>
      </c>
      <c r="X11" s="73">
        <f t="shared" si="4"/>
        <v>1</v>
      </c>
    </row>
    <row r="12" spans="1:28" ht="15">
      <c r="A12" s="77"/>
      <c r="B12" s="78"/>
      <c r="C12" s="79"/>
      <c r="D12" s="79"/>
      <c r="E12" s="80"/>
      <c r="F12" s="80"/>
      <c r="G12" s="80"/>
      <c r="H12" s="80"/>
      <c r="I12" s="79"/>
      <c r="J12" s="79"/>
      <c r="K12" s="52"/>
      <c r="L12" s="47"/>
      <c r="M12" s="80"/>
      <c r="N12" s="80"/>
      <c r="O12" s="80"/>
      <c r="P12" s="47"/>
      <c r="Q12" s="80"/>
      <c r="R12" s="47"/>
      <c r="S12" s="9">
        <f t="shared" si="0"/>
        <v>1</v>
      </c>
      <c r="T12" s="9">
        <f t="shared" si="1"/>
        <v>1</v>
      </c>
      <c r="U12" s="9">
        <f t="shared" si="2"/>
        <v>1</v>
      </c>
      <c r="V12" s="73">
        <f t="shared" si="3"/>
        <v>0</v>
      </c>
      <c r="X12" s="73">
        <f t="shared" si="4"/>
        <v>1</v>
      </c>
    </row>
    <row r="13" spans="1:28" ht="15">
      <c r="A13" s="77"/>
      <c r="B13" s="78"/>
      <c r="C13" s="79"/>
      <c r="D13" s="79"/>
      <c r="E13" s="80"/>
      <c r="F13" s="80"/>
      <c r="G13" s="80"/>
      <c r="H13" s="80"/>
      <c r="I13" s="79"/>
      <c r="J13" s="79"/>
      <c r="K13" s="52"/>
      <c r="L13" s="47"/>
      <c r="M13" s="80"/>
      <c r="N13" s="80"/>
      <c r="O13" s="80"/>
      <c r="P13" s="47"/>
      <c r="Q13" s="80"/>
      <c r="R13" s="47"/>
      <c r="S13" s="9">
        <f t="shared" si="0"/>
        <v>1</v>
      </c>
      <c r="T13" s="9">
        <f t="shared" si="1"/>
        <v>1</v>
      </c>
      <c r="U13" s="9">
        <f t="shared" si="2"/>
        <v>1</v>
      </c>
      <c r="V13" s="73">
        <f t="shared" si="3"/>
        <v>0</v>
      </c>
      <c r="X13" s="73">
        <f t="shared" si="4"/>
        <v>1</v>
      </c>
    </row>
    <row r="14" spans="1:28" ht="15">
      <c r="A14" s="77"/>
      <c r="B14" s="78"/>
      <c r="C14" s="79"/>
      <c r="D14" s="79"/>
      <c r="E14" s="80"/>
      <c r="F14" s="80"/>
      <c r="G14" s="80"/>
      <c r="H14" s="80"/>
      <c r="I14" s="79"/>
      <c r="J14" s="79"/>
      <c r="K14" s="52"/>
      <c r="L14" s="47"/>
      <c r="M14" s="80"/>
      <c r="N14" s="80"/>
      <c r="O14" s="80"/>
      <c r="P14" s="47"/>
      <c r="Q14" s="80"/>
      <c r="R14" s="47"/>
      <c r="S14" s="9">
        <f t="shared" si="0"/>
        <v>1</v>
      </c>
      <c r="T14" s="9">
        <f t="shared" si="1"/>
        <v>1</v>
      </c>
      <c r="U14" s="9">
        <f t="shared" si="2"/>
        <v>1</v>
      </c>
      <c r="V14" s="73">
        <f t="shared" si="3"/>
        <v>0</v>
      </c>
      <c r="X14" s="73">
        <f t="shared" si="4"/>
        <v>1</v>
      </c>
    </row>
    <row r="15" spans="1:28" ht="15">
      <c r="A15" s="89"/>
      <c r="B15" s="81"/>
      <c r="C15" s="82"/>
      <c r="D15" s="82"/>
      <c r="E15" s="85"/>
      <c r="F15" s="86"/>
      <c r="G15" s="83"/>
      <c r="H15" s="83"/>
      <c r="I15" s="82"/>
      <c r="J15" s="82"/>
      <c r="K15" s="89"/>
      <c r="L15" s="84"/>
      <c r="M15" s="87"/>
      <c r="N15" s="93"/>
      <c r="O15" s="80"/>
      <c r="P15" s="88"/>
      <c r="Q15" s="90"/>
      <c r="R15" s="45"/>
      <c r="S15" s="9">
        <f t="shared" si="0"/>
        <v>1</v>
      </c>
      <c r="T15" s="9">
        <f t="shared" si="1"/>
        <v>1</v>
      </c>
      <c r="U15" s="9">
        <f t="shared" si="2"/>
        <v>1</v>
      </c>
      <c r="V15" s="73">
        <f t="shared" si="3"/>
        <v>0</v>
      </c>
      <c r="X15" s="73">
        <f t="shared" si="4"/>
        <v>1</v>
      </c>
    </row>
    <row r="16" spans="1:28" ht="15">
      <c r="A16" s="45"/>
      <c r="B16" s="45"/>
      <c r="C16" s="45"/>
      <c r="D16" s="45"/>
      <c r="E16" s="47"/>
      <c r="F16" s="45"/>
      <c r="G16" s="47"/>
      <c r="H16" s="47"/>
      <c r="I16" s="45"/>
      <c r="J16" s="45"/>
      <c r="K16" s="52"/>
      <c r="L16" s="54"/>
      <c r="M16" s="94"/>
      <c r="N16" s="45"/>
      <c r="O16" s="92"/>
      <c r="P16" s="47"/>
      <c r="Q16" s="53"/>
      <c r="R16" s="45"/>
      <c r="S16" s="9">
        <f t="shared" si="0"/>
        <v>1</v>
      </c>
      <c r="T16" s="9">
        <f t="shared" si="1"/>
        <v>1</v>
      </c>
      <c r="U16" s="9">
        <f t="shared" si="2"/>
        <v>1</v>
      </c>
      <c r="V16" s="73">
        <f t="shared" si="3"/>
        <v>0</v>
      </c>
      <c r="X16" s="73">
        <f t="shared" si="4"/>
        <v>1</v>
      </c>
    </row>
    <row r="17" spans="1:24" ht="15">
      <c r="A17" s="45"/>
      <c r="B17" s="45"/>
      <c r="C17" s="45"/>
      <c r="D17" s="45"/>
      <c r="E17" s="47"/>
      <c r="F17" s="45"/>
      <c r="G17" s="47"/>
      <c r="H17" s="47"/>
      <c r="I17" s="45"/>
      <c r="J17" s="45"/>
      <c r="K17" s="52"/>
      <c r="L17" s="54"/>
      <c r="M17" s="45"/>
      <c r="N17" s="45"/>
      <c r="O17" s="45"/>
      <c r="P17" s="47"/>
      <c r="Q17" s="53"/>
      <c r="R17" s="45"/>
      <c r="S17" s="9">
        <f t="shared" si="0"/>
        <v>1</v>
      </c>
      <c r="T17" s="9">
        <f t="shared" si="1"/>
        <v>1</v>
      </c>
      <c r="U17" s="9">
        <f t="shared" si="2"/>
        <v>1</v>
      </c>
      <c r="V17" s="73">
        <f t="shared" si="3"/>
        <v>0</v>
      </c>
      <c r="X17" s="73">
        <f t="shared" si="4"/>
        <v>1</v>
      </c>
    </row>
    <row r="18" spans="1:24" ht="15">
      <c r="A18" s="45"/>
      <c r="B18" s="45"/>
      <c r="C18" s="45"/>
      <c r="D18" s="45"/>
      <c r="E18" s="47"/>
      <c r="F18" s="45"/>
      <c r="G18" s="47"/>
      <c r="H18" s="47"/>
      <c r="I18" s="45"/>
      <c r="J18" s="45"/>
      <c r="K18" s="52"/>
      <c r="L18" s="54"/>
      <c r="M18" s="45"/>
      <c r="N18" s="45"/>
      <c r="O18" s="45"/>
      <c r="P18" s="47"/>
      <c r="Q18" s="53"/>
      <c r="R18" s="45"/>
      <c r="S18" s="9">
        <f t="shared" si="0"/>
        <v>1</v>
      </c>
      <c r="T18" s="9">
        <f t="shared" si="1"/>
        <v>1</v>
      </c>
      <c r="U18" s="9">
        <f t="shared" si="2"/>
        <v>1</v>
      </c>
      <c r="V18" s="73">
        <f t="shared" si="3"/>
        <v>0</v>
      </c>
      <c r="X18" s="73">
        <f t="shared" si="4"/>
        <v>1</v>
      </c>
    </row>
    <row r="19" spans="1:24" ht="15">
      <c r="A19" s="45"/>
      <c r="B19" s="45"/>
      <c r="C19" s="45"/>
      <c r="D19" s="45"/>
      <c r="E19" s="47"/>
      <c r="F19" s="45"/>
      <c r="G19" s="47"/>
      <c r="H19" s="47"/>
      <c r="I19" s="45"/>
      <c r="J19" s="45"/>
      <c r="K19" s="52"/>
      <c r="L19" s="54"/>
      <c r="M19" s="45"/>
      <c r="N19" s="45"/>
      <c r="O19" s="45"/>
      <c r="P19" s="47"/>
      <c r="Q19" s="53"/>
      <c r="R19" s="45"/>
      <c r="S19" s="9">
        <f t="shared" si="0"/>
        <v>1</v>
      </c>
      <c r="T19" s="9">
        <f t="shared" si="1"/>
        <v>1</v>
      </c>
      <c r="U19" s="9">
        <f t="shared" si="2"/>
        <v>1</v>
      </c>
      <c r="V19" s="73">
        <f t="shared" si="3"/>
        <v>0</v>
      </c>
      <c r="X19" s="73">
        <f t="shared" si="4"/>
        <v>1</v>
      </c>
    </row>
    <row r="20" spans="1:24">
      <c r="A20" s="45"/>
      <c r="B20" s="45"/>
      <c r="C20" s="45"/>
      <c r="D20" s="45"/>
      <c r="E20" s="47"/>
      <c r="F20" s="45"/>
      <c r="G20" s="47"/>
      <c r="H20" s="47"/>
      <c r="I20" s="45"/>
      <c r="J20" s="45"/>
      <c r="K20" s="52"/>
      <c r="L20" s="54"/>
      <c r="M20" s="45"/>
      <c r="N20" s="45"/>
      <c r="O20" s="45"/>
      <c r="P20" s="47"/>
      <c r="Q20" s="47"/>
      <c r="R20" s="45"/>
      <c r="S20" s="9">
        <f t="shared" si="0"/>
        <v>1</v>
      </c>
      <c r="T20" s="9">
        <f t="shared" si="1"/>
        <v>1</v>
      </c>
      <c r="U20" s="9">
        <f t="shared" si="2"/>
        <v>1</v>
      </c>
      <c r="V20" s="73">
        <f t="shared" si="3"/>
        <v>0</v>
      </c>
      <c r="X20" s="73">
        <f t="shared" si="4"/>
        <v>1</v>
      </c>
    </row>
    <row r="21" spans="1:24">
      <c r="A21" s="45"/>
      <c r="B21" s="45"/>
      <c r="C21" s="45"/>
      <c r="D21" s="45"/>
      <c r="E21" s="47"/>
      <c r="F21" s="45"/>
      <c r="G21" s="47"/>
      <c r="H21" s="47"/>
      <c r="I21" s="45"/>
      <c r="J21" s="45"/>
      <c r="K21" s="52"/>
      <c r="L21" s="54"/>
      <c r="M21" s="45"/>
      <c r="N21" s="45"/>
      <c r="O21" s="45"/>
      <c r="P21" s="47"/>
      <c r="Q21" s="47"/>
      <c r="R21" s="45"/>
      <c r="S21" s="9">
        <f t="shared" si="0"/>
        <v>1</v>
      </c>
      <c r="T21" s="9">
        <f t="shared" si="1"/>
        <v>1</v>
      </c>
      <c r="U21" s="9">
        <f t="shared" si="2"/>
        <v>1</v>
      </c>
      <c r="V21" s="73">
        <f t="shared" si="3"/>
        <v>0</v>
      </c>
      <c r="X21" s="73">
        <f t="shared" si="4"/>
        <v>1</v>
      </c>
    </row>
    <row r="22" spans="1:24">
      <c r="A22" s="45"/>
      <c r="B22" s="45"/>
      <c r="C22" s="45"/>
      <c r="D22" s="45"/>
      <c r="E22" s="47"/>
      <c r="F22" s="45"/>
      <c r="G22" s="47"/>
      <c r="H22" s="47"/>
      <c r="I22" s="45"/>
      <c r="J22" s="45"/>
      <c r="K22" s="52"/>
      <c r="L22" s="54"/>
      <c r="M22" s="45"/>
      <c r="N22" s="45"/>
      <c r="O22" s="45"/>
      <c r="P22" s="47"/>
      <c r="Q22" s="47"/>
      <c r="R22" s="45"/>
      <c r="S22" s="9">
        <f t="shared" si="0"/>
        <v>1</v>
      </c>
      <c r="T22" s="9">
        <f t="shared" si="1"/>
        <v>1</v>
      </c>
      <c r="U22" s="9">
        <f t="shared" si="2"/>
        <v>1</v>
      </c>
      <c r="V22" s="73">
        <f t="shared" si="3"/>
        <v>0</v>
      </c>
      <c r="X22" s="73">
        <f t="shared" si="4"/>
        <v>1</v>
      </c>
    </row>
    <row r="23" spans="1:24">
      <c r="A23" s="45"/>
      <c r="B23" s="45"/>
      <c r="C23" s="45"/>
      <c r="D23" s="45"/>
      <c r="E23" s="47"/>
      <c r="F23" s="45"/>
      <c r="G23" s="47"/>
      <c r="H23" s="47"/>
      <c r="I23" s="45"/>
      <c r="J23" s="45"/>
      <c r="K23" s="52"/>
      <c r="L23" s="54"/>
      <c r="M23" s="45"/>
      <c r="N23" s="45"/>
      <c r="O23" s="45"/>
      <c r="P23" s="47"/>
      <c r="Q23" s="47"/>
      <c r="R23" s="45"/>
      <c r="S23" s="9">
        <f t="shared" si="0"/>
        <v>1</v>
      </c>
      <c r="T23" s="9">
        <f t="shared" si="1"/>
        <v>1</v>
      </c>
      <c r="U23" s="9">
        <f t="shared" si="2"/>
        <v>1</v>
      </c>
      <c r="V23" s="73">
        <f t="shared" si="3"/>
        <v>0</v>
      </c>
      <c r="X23" s="73">
        <f t="shared" si="4"/>
        <v>1</v>
      </c>
    </row>
    <row r="24" spans="1:24">
      <c r="A24" s="45"/>
      <c r="B24" s="45"/>
      <c r="C24" s="45"/>
      <c r="D24" s="45"/>
      <c r="E24" s="47"/>
      <c r="F24" s="45"/>
      <c r="G24" s="47"/>
      <c r="H24" s="47"/>
      <c r="I24" s="45"/>
      <c r="J24" s="45"/>
      <c r="K24" s="52"/>
      <c r="L24" s="54"/>
      <c r="M24" s="45"/>
      <c r="N24" s="45"/>
      <c r="O24" s="45"/>
      <c r="P24" s="47"/>
      <c r="Q24" s="47"/>
      <c r="R24" s="45"/>
      <c r="S24" s="9">
        <f t="shared" si="0"/>
        <v>1</v>
      </c>
      <c r="T24" s="9">
        <f t="shared" si="1"/>
        <v>1</v>
      </c>
      <c r="U24" s="9">
        <f t="shared" si="2"/>
        <v>1</v>
      </c>
      <c r="V24" s="73">
        <f t="shared" si="3"/>
        <v>0</v>
      </c>
      <c r="X24" s="73">
        <f t="shared" si="4"/>
        <v>1</v>
      </c>
    </row>
    <row r="25" spans="1:24">
      <c r="A25" s="45"/>
      <c r="B25" s="45"/>
      <c r="C25" s="45"/>
      <c r="D25" s="45"/>
      <c r="E25" s="47"/>
      <c r="F25" s="45"/>
      <c r="G25" s="47"/>
      <c r="H25" s="47"/>
      <c r="I25" s="45"/>
      <c r="J25" s="45"/>
      <c r="K25" s="52"/>
      <c r="L25" s="54"/>
      <c r="M25" s="45"/>
      <c r="N25" s="45"/>
      <c r="O25" s="45"/>
      <c r="P25" s="47"/>
      <c r="Q25" s="47"/>
      <c r="R25" s="45"/>
      <c r="S25" s="9">
        <f t="shared" si="0"/>
        <v>1</v>
      </c>
      <c r="T25" s="9">
        <f t="shared" si="1"/>
        <v>1</v>
      </c>
      <c r="U25" s="9">
        <f t="shared" si="2"/>
        <v>1</v>
      </c>
      <c r="V25" s="73">
        <f t="shared" si="3"/>
        <v>0</v>
      </c>
      <c r="X25" s="73">
        <f t="shared" si="4"/>
        <v>1</v>
      </c>
    </row>
    <row r="26" spans="1:24">
      <c r="A26" s="45"/>
      <c r="B26" s="45"/>
      <c r="C26" s="45"/>
      <c r="D26" s="45"/>
      <c r="E26" s="47"/>
      <c r="F26" s="45"/>
      <c r="G26" s="47"/>
      <c r="H26" s="47"/>
      <c r="I26" s="45"/>
      <c r="J26" s="45"/>
      <c r="K26" s="52"/>
      <c r="L26" s="54"/>
      <c r="M26" s="45"/>
      <c r="N26" s="45"/>
      <c r="O26" s="45"/>
      <c r="P26" s="54"/>
      <c r="Q26" s="47"/>
      <c r="R26" s="45"/>
      <c r="S26" s="9">
        <f t="shared" si="0"/>
        <v>1</v>
      </c>
      <c r="T26" s="9">
        <f t="shared" si="1"/>
        <v>1</v>
      </c>
      <c r="U26" s="9">
        <f t="shared" si="2"/>
        <v>1</v>
      </c>
      <c r="V26" s="73">
        <f t="shared" si="3"/>
        <v>0</v>
      </c>
      <c r="X26" s="73">
        <f t="shared" si="4"/>
        <v>1</v>
      </c>
    </row>
    <row r="27" spans="1:24">
      <c r="A27" s="45"/>
      <c r="B27" s="45"/>
      <c r="C27" s="45"/>
      <c r="D27" s="45"/>
      <c r="E27" s="47"/>
      <c r="F27" s="45"/>
      <c r="G27" s="47"/>
      <c r="H27" s="47"/>
      <c r="I27" s="45"/>
      <c r="J27" s="45"/>
      <c r="K27" s="52"/>
      <c r="L27" s="54"/>
      <c r="M27" s="45"/>
      <c r="N27" s="45"/>
      <c r="O27" s="45"/>
      <c r="P27" s="54"/>
      <c r="Q27" s="47"/>
      <c r="R27" s="45"/>
      <c r="S27" s="75">
        <f t="shared" si="0"/>
        <v>1</v>
      </c>
      <c r="T27" s="75">
        <f t="shared" si="1"/>
        <v>1</v>
      </c>
      <c r="U27" s="75">
        <f t="shared" si="2"/>
        <v>1</v>
      </c>
      <c r="V27" s="75">
        <f t="shared" si="3"/>
        <v>0</v>
      </c>
      <c r="X27" s="75">
        <f t="shared" si="4"/>
        <v>1</v>
      </c>
    </row>
    <row r="28" spans="1:24">
      <c r="A28" s="45"/>
      <c r="B28" s="45"/>
      <c r="C28" s="45"/>
      <c r="D28" s="45"/>
      <c r="E28" s="47"/>
      <c r="F28" s="45"/>
      <c r="G28" s="47"/>
      <c r="H28" s="47"/>
      <c r="I28" s="45"/>
      <c r="J28" s="45"/>
      <c r="K28" s="45"/>
      <c r="L28" s="45"/>
      <c r="M28" s="45"/>
      <c r="N28" s="45"/>
      <c r="O28" s="45"/>
      <c r="P28" s="47"/>
      <c r="Q28" s="47"/>
      <c r="R28" s="45"/>
      <c r="S28" s="75">
        <f t="shared" si="0"/>
        <v>1</v>
      </c>
      <c r="T28" s="75">
        <f t="shared" si="1"/>
        <v>1</v>
      </c>
      <c r="U28" s="75">
        <f t="shared" si="2"/>
        <v>1</v>
      </c>
      <c r="V28" s="75">
        <f t="shared" si="3"/>
        <v>0</v>
      </c>
      <c r="X28" s="73">
        <f t="shared" si="4"/>
        <v>1</v>
      </c>
    </row>
    <row r="29" spans="1:24">
      <c r="Q29" s="9"/>
    </row>
    <row r="30" spans="1:24" ht="15">
      <c r="A30" s="64" t="s">
        <v>102</v>
      </c>
      <c r="H30" s="244" t="s">
        <v>132</v>
      </c>
      <c r="I30" s="244"/>
      <c r="J30" s="244"/>
      <c r="K30" s="244"/>
    </row>
    <row r="31" spans="1:24" ht="18" customHeight="1">
      <c r="A31" s="96"/>
      <c r="B31" s="14"/>
      <c r="C31" s="14"/>
      <c r="D31" s="14"/>
      <c r="E31" s="14"/>
      <c r="F31" s="14"/>
      <c r="G31" s="14"/>
      <c r="H31" s="14" t="s">
        <v>44</v>
      </c>
      <c r="I31" s="14"/>
      <c r="J31" s="243">
        <f>корпус!E32</f>
        <v>0</v>
      </c>
      <c r="K31" s="243"/>
      <c r="L31" s="14"/>
      <c r="M31" s="14"/>
      <c r="N31" s="14"/>
      <c r="O31" s="14"/>
      <c r="P31" s="14"/>
      <c r="Q31" s="14"/>
    </row>
    <row r="32" spans="1:24" ht="15" customHeight="1">
      <c r="H32" s="245"/>
      <c r="I32" s="245"/>
      <c r="J32" s="243">
        <f>'хол корп'!E31</f>
        <v>0</v>
      </c>
      <c r="K32" s="246"/>
    </row>
    <row r="33" spans="8:11" ht="15">
      <c r="H33" s="245"/>
      <c r="I33" s="245"/>
      <c r="J33" s="245"/>
      <c r="K33" s="246"/>
    </row>
    <row r="34" spans="8:11" ht="15" customHeight="1">
      <c r="H34" s="10" t="s">
        <v>133</v>
      </c>
      <c r="I34" s="10"/>
      <c r="J34" s="243">
        <f>J31+J32</f>
        <v>0</v>
      </c>
      <c r="K34" s="243"/>
    </row>
  </sheetData>
  <mergeCells count="6">
    <mergeCell ref="J34:K34"/>
    <mergeCell ref="H30:K30"/>
    <mergeCell ref="J31:K31"/>
    <mergeCell ref="H32:I33"/>
    <mergeCell ref="J32:K32"/>
    <mergeCell ref="J33:K33"/>
  </mergeCells>
  <pageMargins left="0.74803149606299213" right="0.74803149606299213" top="0.98425196850393704" bottom="0.98425196850393704" header="0.51181102362204722" footer="0.51181102362204722"/>
  <pageSetup paperSize="9" orientation="landscape" verticalDpi="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36"/>
  <sheetViews>
    <sheetView workbookViewId="0">
      <selection activeCell="S28" sqref="S28"/>
    </sheetView>
  </sheetViews>
  <sheetFormatPr defaultRowHeight="15"/>
  <cols>
    <col min="6" max="6" width="10.140625" customWidth="1"/>
    <col min="13" max="13" width="12.42578125" bestFit="1" customWidth="1"/>
    <col min="19" max="19" width="12.42578125" customWidth="1"/>
    <col min="20" max="20" width="0" hidden="1" customWidth="1"/>
    <col min="21" max="21" width="13.85546875" customWidth="1"/>
    <col min="22" max="22" width="17.7109375" customWidth="1"/>
    <col min="23" max="23" width="18.28515625" customWidth="1"/>
    <col min="24" max="24" width="15.42578125" customWidth="1"/>
    <col min="25" max="25" width="14.140625" customWidth="1"/>
    <col min="27" max="27" width="14.28515625" bestFit="1" customWidth="1"/>
  </cols>
  <sheetData>
    <row r="1" spans="1:27">
      <c r="B1" t="s">
        <v>134</v>
      </c>
    </row>
    <row r="2" spans="1:27" ht="26.25">
      <c r="B2" s="58"/>
      <c r="C2" s="132"/>
      <c r="D2" s="133"/>
      <c r="E2" s="133"/>
      <c r="F2" s="133"/>
      <c r="G2" s="133"/>
      <c r="H2" s="133"/>
      <c r="N2" s="135"/>
      <c r="W2" s="134"/>
      <c r="X2" s="134"/>
    </row>
    <row r="3" spans="1:27" ht="33">
      <c r="C3" s="185" t="s">
        <v>173</v>
      </c>
      <c r="D3" s="136"/>
      <c r="E3" s="136"/>
      <c r="F3" s="136"/>
      <c r="G3" s="136"/>
      <c r="H3" s="136"/>
      <c r="M3" s="199">
        <f>'Исх данные'!H6</f>
        <v>0</v>
      </c>
    </row>
    <row r="4" spans="1:27" ht="33.75" thickBot="1">
      <c r="B4" s="195"/>
      <c r="C4" s="19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7" ht="48" customHeight="1">
      <c r="A5" s="149"/>
      <c r="B5" s="283" t="s">
        <v>137</v>
      </c>
      <c r="C5" s="281" t="s">
        <v>138</v>
      </c>
      <c r="D5" s="285" t="s">
        <v>139</v>
      </c>
      <c r="E5" s="218" t="s">
        <v>141</v>
      </c>
      <c r="F5" s="153" t="s">
        <v>199</v>
      </c>
      <c r="G5" s="218" t="s">
        <v>142</v>
      </c>
      <c r="H5" s="153" t="s">
        <v>199</v>
      </c>
      <c r="I5" s="287" t="s">
        <v>143</v>
      </c>
      <c r="J5" s="287" t="s">
        <v>145</v>
      </c>
      <c r="K5" s="287"/>
      <c r="L5" s="218" t="s">
        <v>144</v>
      </c>
      <c r="M5" s="287" t="s">
        <v>143</v>
      </c>
      <c r="N5" s="300" t="s">
        <v>128</v>
      </c>
      <c r="O5" s="300"/>
      <c r="P5" s="287" t="s">
        <v>163</v>
      </c>
      <c r="Q5" s="287"/>
      <c r="R5" s="300" t="s">
        <v>164</v>
      </c>
      <c r="S5" s="300"/>
      <c r="T5" s="300"/>
      <c r="U5" s="219" t="s">
        <v>120</v>
      </c>
      <c r="V5" s="219" t="s">
        <v>127</v>
      </c>
      <c r="W5" s="153" t="s">
        <v>121</v>
      </c>
      <c r="X5" s="156" t="s">
        <v>122</v>
      </c>
      <c r="Y5" s="157" t="s">
        <v>165</v>
      </c>
      <c r="AA5" s="322">
        <f>'Исх данные'!H6</f>
        <v>0</v>
      </c>
    </row>
    <row r="6" spans="1:27" ht="16.5" thickBot="1">
      <c r="A6" s="149"/>
      <c r="B6" s="284"/>
      <c r="C6" s="282"/>
      <c r="D6" s="286"/>
      <c r="E6" s="155" t="s">
        <v>166</v>
      </c>
      <c r="F6" s="155" t="s">
        <v>146</v>
      </c>
      <c r="G6" s="155" t="s">
        <v>32</v>
      </c>
      <c r="H6" s="155" t="s">
        <v>146</v>
      </c>
      <c r="I6" s="288"/>
      <c r="J6" s="155" t="s">
        <v>162</v>
      </c>
      <c r="K6" s="155" t="s">
        <v>32</v>
      </c>
      <c r="L6" s="155" t="s">
        <v>146</v>
      </c>
      <c r="M6" s="288"/>
      <c r="N6" s="223"/>
      <c r="O6" s="223" t="s">
        <v>146</v>
      </c>
      <c r="P6" s="223"/>
      <c r="Q6" s="223" t="s">
        <v>146</v>
      </c>
      <c r="R6" s="223"/>
      <c r="S6" s="223" t="s">
        <v>146</v>
      </c>
      <c r="T6" s="223" t="s">
        <v>146</v>
      </c>
      <c r="U6" s="223" t="s">
        <v>146</v>
      </c>
      <c r="V6" s="223" t="s">
        <v>146</v>
      </c>
      <c r="W6" s="223" t="s">
        <v>146</v>
      </c>
      <c r="X6" s="223" t="s">
        <v>146</v>
      </c>
      <c r="Y6" s="224" t="s">
        <v>146</v>
      </c>
      <c r="AA6" s="322"/>
    </row>
    <row r="7" spans="1:27" ht="15.75">
      <c r="B7" s="187">
        <v>1</v>
      </c>
      <c r="C7" s="174">
        <f>Гибка!F7</f>
        <v>0</v>
      </c>
      <c r="D7" s="174">
        <f>Гибка!H7</f>
        <v>0</v>
      </c>
      <c r="E7" s="175">
        <f>Гибка!I7</f>
        <v>0</v>
      </c>
      <c r="F7" s="175">
        <f>TRUMPF!K7</f>
        <v>0</v>
      </c>
      <c r="G7" s="176">
        <f>Гибка!K7</f>
        <v>0</v>
      </c>
      <c r="H7" s="176">
        <f>TRUMPF!N7</f>
        <v>0</v>
      </c>
      <c r="I7" s="176">
        <f>TRUMPF!O7</f>
        <v>0</v>
      </c>
      <c r="J7" s="176">
        <f>Гибка!O7</f>
        <v>0</v>
      </c>
      <c r="K7" s="176">
        <f>Гибка!P7</f>
        <v>-6</v>
      </c>
      <c r="L7" s="176">
        <f>Гибка!Q7</f>
        <v>0</v>
      </c>
      <c r="M7" s="176">
        <f>Гибка!R7</f>
        <v>0</v>
      </c>
      <c r="N7" s="176">
        <f>TRUMPF!T7</f>
        <v>0</v>
      </c>
      <c r="O7" s="176">
        <f>TRUMPF!U7</f>
        <v>0</v>
      </c>
      <c r="P7" s="176">
        <f>TRUMPF!V7</f>
        <v>0</v>
      </c>
      <c r="Q7" s="176">
        <f>TRUMPF!W7</f>
        <v>0</v>
      </c>
      <c r="R7" s="176">
        <f>TRUMPF!X7</f>
        <v>0</v>
      </c>
      <c r="S7" s="176">
        <f>TRUMPF!Y7</f>
        <v>0</v>
      </c>
      <c r="T7" s="176">
        <f>Q7*2</f>
        <v>0</v>
      </c>
      <c r="U7" s="175">
        <f>TRUMPF!Z7</f>
        <v>0</v>
      </c>
      <c r="V7" s="175">
        <f>TRUMPF!AA7</f>
        <v>0</v>
      </c>
      <c r="W7" s="175">
        <f>TRUMPF!AC7</f>
        <v>0</v>
      </c>
      <c r="X7" s="177">
        <f>TRUMPF!AD7</f>
        <v>0</v>
      </c>
      <c r="Y7" s="178">
        <f>TRUMPF!AE7</f>
        <v>0</v>
      </c>
      <c r="AA7" s="322"/>
    </row>
    <row r="8" spans="1:27" ht="15.75">
      <c r="B8" s="163">
        <f>B7+1</f>
        <v>2</v>
      </c>
      <c r="C8" s="179">
        <f>Гибка!F8</f>
        <v>0</v>
      </c>
      <c r="D8" s="179">
        <f>Гибка!H8</f>
        <v>0</v>
      </c>
      <c r="E8" s="180">
        <f>Гибка!I8</f>
        <v>0</v>
      </c>
      <c r="F8" s="180">
        <f>TRUMPF!K8</f>
        <v>0</v>
      </c>
      <c r="G8" s="171">
        <f>Гибка!K8</f>
        <v>0</v>
      </c>
      <c r="H8" s="171">
        <f>TRUMPF!N8</f>
        <v>0</v>
      </c>
      <c r="I8" s="171">
        <f>TRUMPF!O8</f>
        <v>0</v>
      </c>
      <c r="J8" s="171">
        <f>Гибка!O8</f>
        <v>0</v>
      </c>
      <c r="K8" s="171">
        <f>Гибка!P8</f>
        <v>-6</v>
      </c>
      <c r="L8" s="171">
        <f>Гибка!Q8</f>
        <v>0</v>
      </c>
      <c r="M8" s="171">
        <f>Гибка!R8</f>
        <v>0</v>
      </c>
      <c r="N8" s="171">
        <f>TRUMPF!T8</f>
        <v>0</v>
      </c>
      <c r="O8" s="171">
        <f>TRUMPF!U8</f>
        <v>0</v>
      </c>
      <c r="P8" s="171">
        <f>TRUMPF!V8</f>
        <v>0</v>
      </c>
      <c r="Q8" s="171">
        <f>TRUMPF!W8</f>
        <v>0</v>
      </c>
      <c r="R8" s="171">
        <f>TRUMPF!X8</f>
        <v>0</v>
      </c>
      <c r="S8" s="171">
        <f>TRUMPF!Y8</f>
        <v>0</v>
      </c>
      <c r="T8" s="171">
        <f t="shared" ref="T8:T24" si="0">Q8*2</f>
        <v>0</v>
      </c>
      <c r="U8" s="180">
        <f>TRUMPF!Z8</f>
        <v>0</v>
      </c>
      <c r="V8" s="180">
        <f>TRUMPF!AA8</f>
        <v>0</v>
      </c>
      <c r="W8" s="180">
        <f>TRUMPF!AC8</f>
        <v>0</v>
      </c>
      <c r="X8" s="172">
        <f>TRUMPF!AD8</f>
        <v>0</v>
      </c>
      <c r="Y8" s="181">
        <f>TRUMPF!AE8</f>
        <v>0</v>
      </c>
      <c r="AA8" s="322"/>
    </row>
    <row r="9" spans="1:27" ht="15.75" customHeight="1">
      <c r="B9" s="163">
        <f t="shared" ref="B9:B24" si="1">B8+1</f>
        <v>3</v>
      </c>
      <c r="C9" s="179">
        <f>Гибка!F9</f>
        <v>0</v>
      </c>
      <c r="D9" s="179">
        <f>Гибка!H9</f>
        <v>0</v>
      </c>
      <c r="E9" s="180">
        <f>Гибка!I9</f>
        <v>0</v>
      </c>
      <c r="F9" s="180">
        <f>TRUMPF!K9</f>
        <v>0</v>
      </c>
      <c r="G9" s="171">
        <f>Гибка!K9</f>
        <v>0</v>
      </c>
      <c r="H9" s="171">
        <f>TRUMPF!N9</f>
        <v>0</v>
      </c>
      <c r="I9" s="171">
        <f>TRUMPF!O9</f>
        <v>0</v>
      </c>
      <c r="J9" s="171">
        <f>Гибка!O9</f>
        <v>0</v>
      </c>
      <c r="K9" s="171">
        <f>Гибка!P9</f>
        <v>-6</v>
      </c>
      <c r="L9" s="171">
        <f>Гибка!Q9</f>
        <v>0</v>
      </c>
      <c r="M9" s="171">
        <f>Гибка!R9</f>
        <v>0</v>
      </c>
      <c r="N9" s="171">
        <f>TRUMPF!T9</f>
        <v>0</v>
      </c>
      <c r="O9" s="171">
        <f>TRUMPF!U9</f>
        <v>0</v>
      </c>
      <c r="P9" s="171">
        <f>TRUMPF!V9</f>
        <v>0</v>
      </c>
      <c r="Q9" s="171">
        <f>TRUMPF!W9</f>
        <v>0</v>
      </c>
      <c r="R9" s="171">
        <f>TRUMPF!X9</f>
        <v>0</v>
      </c>
      <c r="S9" s="171">
        <f>TRUMPF!Y9</f>
        <v>0</v>
      </c>
      <c r="T9" s="171">
        <f t="shared" si="0"/>
        <v>0</v>
      </c>
      <c r="U9" s="180">
        <f>TRUMPF!Z9</f>
        <v>0</v>
      </c>
      <c r="V9" s="180">
        <f>TRUMPF!AA9</f>
        <v>0</v>
      </c>
      <c r="W9" s="180">
        <f>TRUMPF!AC9</f>
        <v>0</v>
      </c>
      <c r="X9" s="172">
        <f>TRUMPF!AD9</f>
        <v>0</v>
      </c>
      <c r="Y9" s="181">
        <f>TRUMPF!AE9</f>
        <v>0</v>
      </c>
      <c r="AA9" s="321" t="s">
        <v>173</v>
      </c>
    </row>
    <row r="10" spans="1:27" ht="15.75">
      <c r="B10" s="163">
        <f t="shared" si="1"/>
        <v>4</v>
      </c>
      <c r="C10" s="179">
        <f>Гибка!F10</f>
        <v>0</v>
      </c>
      <c r="D10" s="179">
        <f>Гибка!H10</f>
        <v>0</v>
      </c>
      <c r="E10" s="180">
        <f>Гибка!I10</f>
        <v>0</v>
      </c>
      <c r="F10" s="180">
        <f>TRUMPF!K10</f>
        <v>0</v>
      </c>
      <c r="G10" s="171">
        <f>Гибка!K10</f>
        <v>0</v>
      </c>
      <c r="H10" s="171">
        <f>TRUMPF!N10</f>
        <v>0</v>
      </c>
      <c r="I10" s="171">
        <f>TRUMPF!O10</f>
        <v>0</v>
      </c>
      <c r="J10" s="171">
        <f>Гибка!O10</f>
        <v>0</v>
      </c>
      <c r="K10" s="171">
        <f>Гибка!P10</f>
        <v>-6</v>
      </c>
      <c r="L10" s="171">
        <f>Гибка!Q10</f>
        <v>0</v>
      </c>
      <c r="M10" s="171">
        <f>Гибка!R10</f>
        <v>0</v>
      </c>
      <c r="N10" s="171">
        <f>TRUMPF!T10</f>
        <v>0</v>
      </c>
      <c r="O10" s="171">
        <f>TRUMPF!U10</f>
        <v>0</v>
      </c>
      <c r="P10" s="171">
        <f>TRUMPF!V10</f>
        <v>0</v>
      </c>
      <c r="Q10" s="171">
        <f>TRUMPF!W10</f>
        <v>0</v>
      </c>
      <c r="R10" s="171">
        <f>TRUMPF!X10</f>
        <v>0</v>
      </c>
      <c r="S10" s="171">
        <f>TRUMPF!Y10</f>
        <v>0</v>
      </c>
      <c r="T10" s="171">
        <f t="shared" si="0"/>
        <v>0</v>
      </c>
      <c r="U10" s="180">
        <f>TRUMPF!Z10</f>
        <v>0</v>
      </c>
      <c r="V10" s="180">
        <f>TRUMPF!AA10</f>
        <v>0</v>
      </c>
      <c r="W10" s="180">
        <f>TRUMPF!AC10</f>
        <v>0</v>
      </c>
      <c r="X10" s="172">
        <f>TRUMPF!AD10</f>
        <v>0</v>
      </c>
      <c r="Y10" s="181">
        <f>TRUMPF!AE10</f>
        <v>0</v>
      </c>
      <c r="AA10" s="321"/>
    </row>
    <row r="11" spans="1:27" ht="15.75">
      <c r="B11" s="163">
        <f t="shared" si="1"/>
        <v>5</v>
      </c>
      <c r="C11" s="179">
        <f>Гибка!F11</f>
        <v>0</v>
      </c>
      <c r="D11" s="179">
        <f>Гибка!H11</f>
        <v>0</v>
      </c>
      <c r="E11" s="180">
        <f>Гибка!I11</f>
        <v>0</v>
      </c>
      <c r="F11" s="180">
        <f>TRUMPF!K11</f>
        <v>0</v>
      </c>
      <c r="G11" s="171">
        <f>Гибка!K11</f>
        <v>0</v>
      </c>
      <c r="H11" s="171">
        <f>TRUMPF!N11</f>
        <v>0</v>
      </c>
      <c r="I11" s="171">
        <f>TRUMPF!O11</f>
        <v>0</v>
      </c>
      <c r="J11" s="171">
        <f>Гибка!O11</f>
        <v>0</v>
      </c>
      <c r="K11" s="171">
        <f>Гибка!P11</f>
        <v>-6</v>
      </c>
      <c r="L11" s="171">
        <f>Гибка!Q11</f>
        <v>0</v>
      </c>
      <c r="M11" s="171">
        <f>Гибка!R11</f>
        <v>0</v>
      </c>
      <c r="N11" s="171">
        <f>TRUMPF!T11</f>
        <v>0</v>
      </c>
      <c r="O11" s="171">
        <f>TRUMPF!U11</f>
        <v>0</v>
      </c>
      <c r="P11" s="171">
        <f>TRUMPF!V11</f>
        <v>0</v>
      </c>
      <c r="Q11" s="171">
        <f>TRUMPF!W11</f>
        <v>0</v>
      </c>
      <c r="R11" s="171">
        <f>TRUMPF!X11</f>
        <v>0</v>
      </c>
      <c r="S11" s="171">
        <f>TRUMPF!Y11</f>
        <v>0</v>
      </c>
      <c r="T11" s="171">
        <f t="shared" si="0"/>
        <v>0</v>
      </c>
      <c r="U11" s="180">
        <f>TRUMPF!Z11</f>
        <v>0</v>
      </c>
      <c r="V11" s="180">
        <f>TRUMPF!AA11</f>
        <v>0</v>
      </c>
      <c r="W11" s="180">
        <f>TRUMPF!AC11</f>
        <v>0</v>
      </c>
      <c r="X11" s="172">
        <f>TRUMPF!AD11</f>
        <v>0</v>
      </c>
      <c r="Y11" s="181">
        <f>TRUMPF!AE11</f>
        <v>0</v>
      </c>
      <c r="AA11" s="321"/>
    </row>
    <row r="12" spans="1:27" ht="15.75">
      <c r="B12" s="163">
        <f t="shared" si="1"/>
        <v>6</v>
      </c>
      <c r="C12" s="179">
        <f>Гибка!F12</f>
        <v>0</v>
      </c>
      <c r="D12" s="179">
        <f>Гибка!H12</f>
        <v>0</v>
      </c>
      <c r="E12" s="180">
        <f>Гибка!I12</f>
        <v>0</v>
      </c>
      <c r="F12" s="180">
        <f>TRUMPF!K12</f>
        <v>0</v>
      </c>
      <c r="G12" s="171">
        <f>Гибка!K12</f>
        <v>0</v>
      </c>
      <c r="H12" s="171">
        <f>TRUMPF!N12</f>
        <v>0</v>
      </c>
      <c r="I12" s="171">
        <f>TRUMPF!O12</f>
        <v>0</v>
      </c>
      <c r="J12" s="171">
        <f>Гибка!O12</f>
        <v>0</v>
      </c>
      <c r="K12" s="171">
        <f>Гибка!P12</f>
        <v>-6</v>
      </c>
      <c r="L12" s="171">
        <f>Гибка!Q12</f>
        <v>0</v>
      </c>
      <c r="M12" s="171">
        <f>Гибка!R12</f>
        <v>0</v>
      </c>
      <c r="N12" s="171">
        <f>TRUMPF!T12</f>
        <v>0</v>
      </c>
      <c r="O12" s="171">
        <f>TRUMPF!U12</f>
        <v>0</v>
      </c>
      <c r="P12" s="171">
        <f>TRUMPF!V12</f>
        <v>0</v>
      </c>
      <c r="Q12" s="171">
        <f>TRUMPF!W12</f>
        <v>0</v>
      </c>
      <c r="R12" s="171">
        <f>TRUMPF!X12</f>
        <v>0</v>
      </c>
      <c r="S12" s="171">
        <f>TRUMPF!Y12</f>
        <v>0</v>
      </c>
      <c r="T12" s="171">
        <f t="shared" si="0"/>
        <v>0</v>
      </c>
      <c r="U12" s="180">
        <f>TRUMPF!Z12</f>
        <v>0</v>
      </c>
      <c r="V12" s="180">
        <f>TRUMPF!AA12</f>
        <v>0</v>
      </c>
      <c r="W12" s="180">
        <f>TRUMPF!AC12</f>
        <v>0</v>
      </c>
      <c r="X12" s="172">
        <f>TRUMPF!AD12</f>
        <v>0</v>
      </c>
      <c r="Y12" s="181">
        <f>TRUMPF!AE12</f>
        <v>0</v>
      </c>
      <c r="AA12" s="321"/>
    </row>
    <row r="13" spans="1:27" ht="15.75">
      <c r="B13" s="163">
        <f t="shared" si="1"/>
        <v>7</v>
      </c>
      <c r="C13" s="179">
        <f>Гибка!F13</f>
        <v>0</v>
      </c>
      <c r="D13" s="179">
        <f>Гибка!H13</f>
        <v>0</v>
      </c>
      <c r="E13" s="180">
        <f>Гибка!I13</f>
        <v>0</v>
      </c>
      <c r="F13" s="180">
        <f>TRUMPF!K13</f>
        <v>0</v>
      </c>
      <c r="G13" s="171">
        <f>Гибка!K13</f>
        <v>0</v>
      </c>
      <c r="H13" s="171">
        <f>TRUMPF!N13</f>
        <v>0</v>
      </c>
      <c r="I13" s="171">
        <f>TRUMPF!O13</f>
        <v>0</v>
      </c>
      <c r="J13" s="171">
        <f>Гибка!O13</f>
        <v>0</v>
      </c>
      <c r="K13" s="171">
        <f>Гибка!P13</f>
        <v>-6</v>
      </c>
      <c r="L13" s="171">
        <f>Гибка!Q13</f>
        <v>0</v>
      </c>
      <c r="M13" s="171">
        <f>Гибка!R13</f>
        <v>0</v>
      </c>
      <c r="N13" s="171">
        <f>TRUMPF!T13</f>
        <v>0</v>
      </c>
      <c r="O13" s="171">
        <f>TRUMPF!U13</f>
        <v>0</v>
      </c>
      <c r="P13" s="171">
        <f>TRUMPF!V13</f>
        <v>0</v>
      </c>
      <c r="Q13" s="171">
        <f>TRUMPF!W13</f>
        <v>0</v>
      </c>
      <c r="R13" s="171">
        <f>TRUMPF!X13</f>
        <v>0</v>
      </c>
      <c r="S13" s="171">
        <f>TRUMPF!Y13</f>
        <v>0</v>
      </c>
      <c r="T13" s="171">
        <f t="shared" si="0"/>
        <v>0</v>
      </c>
      <c r="U13" s="180">
        <f>TRUMPF!Z13</f>
        <v>0</v>
      </c>
      <c r="V13" s="180">
        <f>TRUMPF!AA13</f>
        <v>0</v>
      </c>
      <c r="W13" s="180">
        <f>TRUMPF!AC13</f>
        <v>0</v>
      </c>
      <c r="X13" s="172">
        <f>TRUMPF!AD13</f>
        <v>0</v>
      </c>
      <c r="Y13" s="181">
        <f>TRUMPF!AE13</f>
        <v>0</v>
      </c>
      <c r="AA13" s="321"/>
    </row>
    <row r="14" spans="1:27" ht="15.75">
      <c r="B14" s="163">
        <f t="shared" si="1"/>
        <v>8</v>
      </c>
      <c r="C14" s="179">
        <f>Гибка!F14</f>
        <v>0</v>
      </c>
      <c r="D14" s="179">
        <f>Гибка!H14</f>
        <v>0</v>
      </c>
      <c r="E14" s="180">
        <f>Гибка!I14</f>
        <v>0</v>
      </c>
      <c r="F14" s="180">
        <f>TRUMPF!K14</f>
        <v>0</v>
      </c>
      <c r="G14" s="171">
        <f>Гибка!K14</f>
        <v>0</v>
      </c>
      <c r="H14" s="171">
        <f>TRUMPF!N14</f>
        <v>0</v>
      </c>
      <c r="I14" s="171">
        <f>TRUMPF!O14</f>
        <v>0</v>
      </c>
      <c r="J14" s="171">
        <f>Гибка!O14</f>
        <v>0</v>
      </c>
      <c r="K14" s="171">
        <f>Гибка!P14</f>
        <v>-6</v>
      </c>
      <c r="L14" s="171">
        <f>Гибка!Q14</f>
        <v>0</v>
      </c>
      <c r="M14" s="171">
        <f>Гибка!R14</f>
        <v>0</v>
      </c>
      <c r="N14" s="171">
        <f>TRUMPF!T14</f>
        <v>0</v>
      </c>
      <c r="O14" s="171">
        <f>TRUMPF!U14</f>
        <v>0</v>
      </c>
      <c r="P14" s="171">
        <f>TRUMPF!V14</f>
        <v>0</v>
      </c>
      <c r="Q14" s="171">
        <f>TRUMPF!W14</f>
        <v>0</v>
      </c>
      <c r="R14" s="171">
        <f>TRUMPF!X14</f>
        <v>0</v>
      </c>
      <c r="S14" s="171">
        <f>TRUMPF!Y14</f>
        <v>0</v>
      </c>
      <c r="T14" s="171">
        <f t="shared" si="0"/>
        <v>0</v>
      </c>
      <c r="U14" s="180">
        <f>TRUMPF!Z14</f>
        <v>0</v>
      </c>
      <c r="V14" s="180">
        <f>TRUMPF!AA14</f>
        <v>0</v>
      </c>
      <c r="W14" s="180">
        <f>TRUMPF!AC14</f>
        <v>0</v>
      </c>
      <c r="X14" s="172">
        <f>TRUMPF!AD14</f>
        <v>0</v>
      </c>
      <c r="Y14" s="181">
        <f>TRUMPF!AE14</f>
        <v>0</v>
      </c>
      <c r="AA14" s="321"/>
    </row>
    <row r="15" spans="1:27" ht="15.75">
      <c r="B15" s="163">
        <f t="shared" si="1"/>
        <v>9</v>
      </c>
      <c r="C15" s="179">
        <f>Гибка!F15</f>
        <v>0</v>
      </c>
      <c r="D15" s="179">
        <f>Гибка!H15</f>
        <v>0</v>
      </c>
      <c r="E15" s="180">
        <f>Гибка!I15</f>
        <v>0</v>
      </c>
      <c r="F15" s="180">
        <f>TRUMPF!K15</f>
        <v>0</v>
      </c>
      <c r="G15" s="171">
        <f>Гибка!K15</f>
        <v>0</v>
      </c>
      <c r="H15" s="171">
        <f>TRUMPF!N15</f>
        <v>0</v>
      </c>
      <c r="I15" s="171">
        <f>TRUMPF!O15</f>
        <v>0</v>
      </c>
      <c r="J15" s="171">
        <f>Гибка!O15</f>
        <v>0</v>
      </c>
      <c r="K15" s="171">
        <f>Гибка!P15</f>
        <v>-6</v>
      </c>
      <c r="L15" s="171">
        <f>Гибка!Q15</f>
        <v>0</v>
      </c>
      <c r="M15" s="171">
        <f>Гибка!R15</f>
        <v>0</v>
      </c>
      <c r="N15" s="171">
        <f>TRUMPF!T15</f>
        <v>0</v>
      </c>
      <c r="O15" s="171">
        <f>TRUMPF!U15</f>
        <v>0</v>
      </c>
      <c r="P15" s="171">
        <f>TRUMPF!V15</f>
        <v>0</v>
      </c>
      <c r="Q15" s="171">
        <f>TRUMPF!W15</f>
        <v>0</v>
      </c>
      <c r="R15" s="171">
        <f>TRUMPF!X15</f>
        <v>0</v>
      </c>
      <c r="S15" s="171">
        <f>TRUMPF!Y15</f>
        <v>0</v>
      </c>
      <c r="T15" s="171">
        <f t="shared" si="0"/>
        <v>0</v>
      </c>
      <c r="U15" s="180">
        <f>TRUMPF!Z15</f>
        <v>0</v>
      </c>
      <c r="V15" s="180">
        <f>TRUMPF!AA15</f>
        <v>0</v>
      </c>
      <c r="W15" s="180">
        <f>TRUMPF!AC15</f>
        <v>0</v>
      </c>
      <c r="X15" s="172">
        <f>TRUMPF!AD15</f>
        <v>0</v>
      </c>
      <c r="Y15" s="181">
        <f>TRUMPF!AE15</f>
        <v>0</v>
      </c>
      <c r="AA15" s="321"/>
    </row>
    <row r="16" spans="1:27" ht="15.75">
      <c r="B16" s="163">
        <f t="shared" si="1"/>
        <v>10</v>
      </c>
      <c r="C16" s="179">
        <f>Гибка!F16</f>
        <v>0</v>
      </c>
      <c r="D16" s="179">
        <f>Гибка!H16</f>
        <v>0</v>
      </c>
      <c r="E16" s="180">
        <f>Гибка!I16</f>
        <v>0</v>
      </c>
      <c r="F16" s="180">
        <f>TRUMPF!K16</f>
        <v>0</v>
      </c>
      <c r="G16" s="171">
        <f>Гибка!K16</f>
        <v>0</v>
      </c>
      <c r="H16" s="171">
        <f>TRUMPF!N16</f>
        <v>0</v>
      </c>
      <c r="I16" s="171">
        <f>TRUMPF!O16</f>
        <v>0</v>
      </c>
      <c r="J16" s="171">
        <f>Гибка!O16</f>
        <v>0</v>
      </c>
      <c r="K16" s="171">
        <f>Гибка!P16</f>
        <v>-6</v>
      </c>
      <c r="L16" s="171">
        <f>Гибка!Q16</f>
        <v>0</v>
      </c>
      <c r="M16" s="171">
        <f>Гибка!R16</f>
        <v>0</v>
      </c>
      <c r="N16" s="171">
        <f>TRUMPF!T16</f>
        <v>0</v>
      </c>
      <c r="O16" s="171">
        <f>TRUMPF!U16</f>
        <v>0</v>
      </c>
      <c r="P16" s="171">
        <f>TRUMPF!V16</f>
        <v>0</v>
      </c>
      <c r="Q16" s="171">
        <f>TRUMPF!W16</f>
        <v>0</v>
      </c>
      <c r="R16" s="171">
        <f>TRUMPF!X16</f>
        <v>0</v>
      </c>
      <c r="S16" s="171">
        <f>TRUMPF!Y16</f>
        <v>0</v>
      </c>
      <c r="T16" s="171">
        <f t="shared" si="0"/>
        <v>0</v>
      </c>
      <c r="U16" s="180">
        <f>TRUMPF!Z16</f>
        <v>0</v>
      </c>
      <c r="V16" s="180">
        <f>TRUMPF!AA16</f>
        <v>0</v>
      </c>
      <c r="W16" s="180">
        <f>TRUMPF!AC16</f>
        <v>0</v>
      </c>
      <c r="X16" s="172">
        <f>TRUMPF!AD16</f>
        <v>0</v>
      </c>
      <c r="Y16" s="181">
        <f>TRUMPF!AE16</f>
        <v>0</v>
      </c>
      <c r="AA16" s="321"/>
    </row>
    <row r="17" spans="1:27" ht="15.75">
      <c r="A17" s="303"/>
      <c r="B17" s="163">
        <f t="shared" si="1"/>
        <v>11</v>
      </c>
      <c r="C17" s="179">
        <f>Гибка!F17</f>
        <v>0</v>
      </c>
      <c r="D17" s="179">
        <f>Гибка!H17</f>
        <v>0</v>
      </c>
      <c r="E17" s="180">
        <f>Гибка!I17</f>
        <v>0</v>
      </c>
      <c r="F17" s="180">
        <f>TRUMPF!K17</f>
        <v>0</v>
      </c>
      <c r="G17" s="171">
        <f>Гибка!K17</f>
        <v>0</v>
      </c>
      <c r="H17" s="171">
        <f>TRUMPF!N17</f>
        <v>0</v>
      </c>
      <c r="I17" s="171">
        <f>TRUMPF!O17</f>
        <v>0</v>
      </c>
      <c r="J17" s="171">
        <f>Гибка!O17</f>
        <v>0</v>
      </c>
      <c r="K17" s="171">
        <f>Гибка!P17</f>
        <v>-6</v>
      </c>
      <c r="L17" s="171">
        <f>Гибка!Q17</f>
        <v>0</v>
      </c>
      <c r="M17" s="171">
        <f>Гибка!R17</f>
        <v>0</v>
      </c>
      <c r="N17" s="171">
        <f>TRUMPF!T17</f>
        <v>0</v>
      </c>
      <c r="O17" s="171">
        <f>TRUMPF!U17</f>
        <v>0</v>
      </c>
      <c r="P17" s="171">
        <f>TRUMPF!V17</f>
        <v>0</v>
      </c>
      <c r="Q17" s="171">
        <f>TRUMPF!W17</f>
        <v>0</v>
      </c>
      <c r="R17" s="171">
        <f>TRUMPF!X17</f>
        <v>0</v>
      </c>
      <c r="S17" s="171">
        <f>TRUMPF!Y17</f>
        <v>0</v>
      </c>
      <c r="T17" s="171">
        <f t="shared" si="0"/>
        <v>0</v>
      </c>
      <c r="U17" s="180">
        <f>TRUMPF!Z17</f>
        <v>0</v>
      </c>
      <c r="V17" s="180">
        <f>TRUMPF!AA17</f>
        <v>0</v>
      </c>
      <c r="W17" s="180">
        <f>TRUMPF!AC17</f>
        <v>0</v>
      </c>
      <c r="X17" s="172">
        <f>TRUMPF!AD17</f>
        <v>0</v>
      </c>
      <c r="Y17" s="181">
        <f>TRUMPF!AE17</f>
        <v>0</v>
      </c>
      <c r="AA17" s="321"/>
    </row>
    <row r="18" spans="1:27" ht="15.75">
      <c r="A18" s="303"/>
      <c r="B18" s="163">
        <f t="shared" si="1"/>
        <v>12</v>
      </c>
      <c r="C18" s="179">
        <f>Гибка!F18</f>
        <v>0</v>
      </c>
      <c r="D18" s="179">
        <f>Гибка!H18</f>
        <v>0</v>
      </c>
      <c r="E18" s="180">
        <f>Гибка!I18</f>
        <v>0</v>
      </c>
      <c r="F18" s="180">
        <f>TRUMPF!K18</f>
        <v>0</v>
      </c>
      <c r="G18" s="171">
        <f>Гибка!K18</f>
        <v>0</v>
      </c>
      <c r="H18" s="171">
        <f>TRUMPF!N18</f>
        <v>0</v>
      </c>
      <c r="I18" s="171">
        <f>TRUMPF!O18</f>
        <v>0</v>
      </c>
      <c r="J18" s="171">
        <f>Гибка!O18</f>
        <v>0</v>
      </c>
      <c r="K18" s="171">
        <f>Гибка!P18</f>
        <v>-6</v>
      </c>
      <c r="L18" s="171">
        <f>Гибка!Q18</f>
        <v>0</v>
      </c>
      <c r="M18" s="171">
        <f>Гибка!R18</f>
        <v>0</v>
      </c>
      <c r="N18" s="171">
        <f>TRUMPF!T18</f>
        <v>0</v>
      </c>
      <c r="O18" s="171">
        <f>TRUMPF!U18</f>
        <v>0</v>
      </c>
      <c r="P18" s="171">
        <f>TRUMPF!V18</f>
        <v>0</v>
      </c>
      <c r="Q18" s="171">
        <f>TRUMPF!W18</f>
        <v>0</v>
      </c>
      <c r="R18" s="171">
        <f>TRUMPF!X18</f>
        <v>0</v>
      </c>
      <c r="S18" s="171">
        <f>TRUMPF!Y18</f>
        <v>0</v>
      </c>
      <c r="T18" s="171">
        <f t="shared" si="0"/>
        <v>0</v>
      </c>
      <c r="U18" s="180">
        <f>TRUMPF!Z18</f>
        <v>0</v>
      </c>
      <c r="V18" s="180">
        <f>TRUMPF!AA18</f>
        <v>0</v>
      </c>
      <c r="W18" s="180">
        <f>TRUMPF!AC18</f>
        <v>0</v>
      </c>
      <c r="X18" s="172">
        <f>TRUMPF!AD18</f>
        <v>0</v>
      </c>
      <c r="Y18" s="181">
        <f>TRUMPF!AE18</f>
        <v>0</v>
      </c>
      <c r="AA18" s="321"/>
    </row>
    <row r="19" spans="1:27" ht="15.75">
      <c r="A19" s="303"/>
      <c r="B19" s="163">
        <f t="shared" si="1"/>
        <v>13</v>
      </c>
      <c r="C19" s="179">
        <f>Гибка!F19</f>
        <v>0</v>
      </c>
      <c r="D19" s="179">
        <f>Гибка!H19</f>
        <v>0</v>
      </c>
      <c r="E19" s="180">
        <f>Гибка!I19</f>
        <v>0</v>
      </c>
      <c r="F19" s="180">
        <f>TRUMPF!K19</f>
        <v>0</v>
      </c>
      <c r="G19" s="171">
        <f>Гибка!K19</f>
        <v>0</v>
      </c>
      <c r="H19" s="171">
        <f>TRUMPF!N19</f>
        <v>0</v>
      </c>
      <c r="I19" s="171">
        <f>TRUMPF!O19</f>
        <v>0</v>
      </c>
      <c r="J19" s="171">
        <f>Гибка!O19</f>
        <v>0</v>
      </c>
      <c r="K19" s="171">
        <f>Гибка!P19</f>
        <v>-6</v>
      </c>
      <c r="L19" s="171">
        <f>Гибка!Q19</f>
        <v>0</v>
      </c>
      <c r="M19" s="171">
        <f>Гибка!R19</f>
        <v>0</v>
      </c>
      <c r="N19" s="171">
        <f>TRUMPF!T19</f>
        <v>0</v>
      </c>
      <c r="O19" s="171">
        <f>TRUMPF!U19</f>
        <v>0</v>
      </c>
      <c r="P19" s="171">
        <f>TRUMPF!V19</f>
        <v>0</v>
      </c>
      <c r="Q19" s="171">
        <f>TRUMPF!W19</f>
        <v>0</v>
      </c>
      <c r="R19" s="171">
        <f>TRUMPF!X19</f>
        <v>0</v>
      </c>
      <c r="S19" s="171">
        <f>TRUMPF!Y19</f>
        <v>0</v>
      </c>
      <c r="T19" s="171">
        <f t="shared" si="0"/>
        <v>0</v>
      </c>
      <c r="U19" s="180">
        <f>TRUMPF!Z19</f>
        <v>0</v>
      </c>
      <c r="V19" s="180">
        <f>TRUMPF!AA19</f>
        <v>0</v>
      </c>
      <c r="W19" s="180">
        <f>TRUMPF!AC19</f>
        <v>0</v>
      </c>
      <c r="X19" s="172">
        <f>TRUMPF!AD19</f>
        <v>0</v>
      </c>
      <c r="Y19" s="181">
        <f>TRUMPF!AE19</f>
        <v>0</v>
      </c>
      <c r="AA19" s="321"/>
    </row>
    <row r="20" spans="1:27" ht="15.75">
      <c r="A20" s="303"/>
      <c r="B20" s="163">
        <f t="shared" si="1"/>
        <v>14</v>
      </c>
      <c r="C20" s="179">
        <f>Гибка!F20</f>
        <v>0</v>
      </c>
      <c r="D20" s="179">
        <f>Гибка!H20</f>
        <v>0</v>
      </c>
      <c r="E20" s="180">
        <f>Гибка!I20</f>
        <v>0</v>
      </c>
      <c r="F20" s="180">
        <f>TRUMPF!K20</f>
        <v>0</v>
      </c>
      <c r="G20" s="171">
        <f>Гибка!K20</f>
        <v>0</v>
      </c>
      <c r="H20" s="171">
        <f>TRUMPF!N20</f>
        <v>0</v>
      </c>
      <c r="I20" s="171">
        <f>TRUMPF!O20</f>
        <v>0</v>
      </c>
      <c r="J20" s="171">
        <f>Гибка!O20</f>
        <v>0</v>
      </c>
      <c r="K20" s="171">
        <f>Гибка!P20</f>
        <v>-6</v>
      </c>
      <c r="L20" s="171">
        <f>Гибка!Q20</f>
        <v>0</v>
      </c>
      <c r="M20" s="171">
        <f>Гибка!R20</f>
        <v>0</v>
      </c>
      <c r="N20" s="171">
        <f>TRUMPF!T20</f>
        <v>0</v>
      </c>
      <c r="O20" s="171">
        <f>TRUMPF!U20</f>
        <v>0</v>
      </c>
      <c r="P20" s="171">
        <f>TRUMPF!V20</f>
        <v>0</v>
      </c>
      <c r="Q20" s="171">
        <f>TRUMPF!W20</f>
        <v>0</v>
      </c>
      <c r="R20" s="171">
        <f>TRUMPF!X20</f>
        <v>0</v>
      </c>
      <c r="S20" s="171">
        <f>TRUMPF!Y20</f>
        <v>0</v>
      </c>
      <c r="T20" s="171">
        <f t="shared" si="0"/>
        <v>0</v>
      </c>
      <c r="U20" s="180">
        <f>TRUMPF!Z20</f>
        <v>0</v>
      </c>
      <c r="V20" s="180">
        <f>TRUMPF!AA20</f>
        <v>0</v>
      </c>
      <c r="W20" s="180">
        <f>TRUMPF!AC20</f>
        <v>0</v>
      </c>
      <c r="X20" s="172">
        <f>TRUMPF!AD20</f>
        <v>0</v>
      </c>
      <c r="Y20" s="181">
        <f>TRUMPF!AE20</f>
        <v>0</v>
      </c>
      <c r="AA20" s="321"/>
    </row>
    <row r="21" spans="1:27" ht="15.75">
      <c r="A21" s="303"/>
      <c r="B21" s="163">
        <f t="shared" si="1"/>
        <v>15</v>
      </c>
      <c r="C21" s="179">
        <f>Гибка!F21</f>
        <v>0</v>
      </c>
      <c r="D21" s="179">
        <f>Гибка!H21</f>
        <v>0</v>
      </c>
      <c r="E21" s="180">
        <f>Гибка!I21</f>
        <v>0</v>
      </c>
      <c r="F21" s="180">
        <f>TRUMPF!K21</f>
        <v>0</v>
      </c>
      <c r="G21" s="171">
        <f>Гибка!K21</f>
        <v>0</v>
      </c>
      <c r="H21" s="171">
        <f>TRUMPF!N21</f>
        <v>0</v>
      </c>
      <c r="I21" s="171">
        <f>TRUMPF!O21</f>
        <v>0</v>
      </c>
      <c r="J21" s="171">
        <f>Гибка!O21</f>
        <v>0</v>
      </c>
      <c r="K21" s="171">
        <f>Гибка!P21</f>
        <v>-6</v>
      </c>
      <c r="L21" s="171">
        <f>Гибка!Q21</f>
        <v>0</v>
      </c>
      <c r="M21" s="171">
        <f>Гибка!R21</f>
        <v>0</v>
      </c>
      <c r="N21" s="171">
        <f>TRUMPF!T21</f>
        <v>0</v>
      </c>
      <c r="O21" s="171">
        <f>TRUMPF!U21</f>
        <v>0</v>
      </c>
      <c r="P21" s="171">
        <f>TRUMPF!V21</f>
        <v>0</v>
      </c>
      <c r="Q21" s="171">
        <f>TRUMPF!W21</f>
        <v>0</v>
      </c>
      <c r="R21" s="171">
        <f>TRUMPF!X21</f>
        <v>0</v>
      </c>
      <c r="S21" s="171">
        <f>TRUMPF!Y21</f>
        <v>0</v>
      </c>
      <c r="T21" s="171">
        <f t="shared" si="0"/>
        <v>0</v>
      </c>
      <c r="U21" s="180">
        <f>TRUMPF!Z21</f>
        <v>0</v>
      </c>
      <c r="V21" s="180">
        <f>TRUMPF!AA21</f>
        <v>0</v>
      </c>
      <c r="W21" s="180">
        <f>TRUMPF!AC21</f>
        <v>0</v>
      </c>
      <c r="X21" s="172">
        <f>TRUMPF!AD21</f>
        <v>0</v>
      </c>
      <c r="Y21" s="181">
        <f>TRUMPF!AE21</f>
        <v>0</v>
      </c>
      <c r="AA21" s="321"/>
    </row>
    <row r="22" spans="1:27" ht="15.75">
      <c r="A22" s="303"/>
      <c r="B22" s="163">
        <f t="shared" si="1"/>
        <v>16</v>
      </c>
      <c r="C22" s="179">
        <f>Гибка!F22</f>
        <v>0</v>
      </c>
      <c r="D22" s="179">
        <f>Гибка!H22</f>
        <v>0</v>
      </c>
      <c r="E22" s="180">
        <f>Гибка!I22</f>
        <v>0</v>
      </c>
      <c r="F22" s="180">
        <f>TRUMPF!K22</f>
        <v>0</v>
      </c>
      <c r="G22" s="171">
        <f>Гибка!K22</f>
        <v>0</v>
      </c>
      <c r="H22" s="171">
        <f>TRUMPF!N22</f>
        <v>0</v>
      </c>
      <c r="I22" s="171">
        <f>TRUMPF!O22</f>
        <v>0</v>
      </c>
      <c r="J22" s="171">
        <f>Гибка!O22</f>
        <v>0</v>
      </c>
      <c r="K22" s="171">
        <f>Гибка!P22</f>
        <v>-6</v>
      </c>
      <c r="L22" s="171">
        <f>Гибка!Q22</f>
        <v>0</v>
      </c>
      <c r="M22" s="171">
        <f>Гибка!R22</f>
        <v>0</v>
      </c>
      <c r="N22" s="171">
        <f>TRUMPF!T22</f>
        <v>0</v>
      </c>
      <c r="O22" s="171">
        <f>TRUMPF!U22</f>
        <v>0</v>
      </c>
      <c r="P22" s="171">
        <f>TRUMPF!V22</f>
        <v>0</v>
      </c>
      <c r="Q22" s="171">
        <f>TRUMPF!W22</f>
        <v>0</v>
      </c>
      <c r="R22" s="171">
        <f>TRUMPF!X22</f>
        <v>0</v>
      </c>
      <c r="S22" s="171">
        <f>TRUMPF!Y22</f>
        <v>0</v>
      </c>
      <c r="T22" s="171">
        <f t="shared" si="0"/>
        <v>0</v>
      </c>
      <c r="U22" s="180">
        <f>TRUMPF!Z22</f>
        <v>0</v>
      </c>
      <c r="V22" s="180">
        <f>TRUMPF!AA22</f>
        <v>0</v>
      </c>
      <c r="W22" s="180">
        <f>TRUMPF!AC22</f>
        <v>0</v>
      </c>
      <c r="X22" s="172">
        <f>TRUMPF!AD22</f>
        <v>0</v>
      </c>
      <c r="Y22" s="181">
        <f>TRUMPF!AE22</f>
        <v>0</v>
      </c>
      <c r="AA22" s="321"/>
    </row>
    <row r="23" spans="1:27" ht="15.75">
      <c r="A23" s="303"/>
      <c r="B23" s="163">
        <f t="shared" si="1"/>
        <v>17</v>
      </c>
      <c r="C23" s="179">
        <f>Гибка!F23</f>
        <v>0</v>
      </c>
      <c r="D23" s="179">
        <f>Гибка!H23</f>
        <v>0</v>
      </c>
      <c r="E23" s="180">
        <f>Гибка!I23</f>
        <v>0</v>
      </c>
      <c r="F23" s="180">
        <f>TRUMPF!K23</f>
        <v>0</v>
      </c>
      <c r="G23" s="171">
        <f>Гибка!K23</f>
        <v>0</v>
      </c>
      <c r="H23" s="171">
        <f>TRUMPF!N23</f>
        <v>0</v>
      </c>
      <c r="I23" s="171">
        <f>TRUMPF!O23</f>
        <v>0</v>
      </c>
      <c r="J23" s="171">
        <f>Гибка!O23</f>
        <v>0</v>
      </c>
      <c r="K23" s="171">
        <f>Гибка!P23</f>
        <v>-6</v>
      </c>
      <c r="L23" s="171">
        <f>Гибка!Q23</f>
        <v>0</v>
      </c>
      <c r="M23" s="171">
        <f>Гибка!R23</f>
        <v>0</v>
      </c>
      <c r="N23" s="171">
        <f>TRUMPF!T23</f>
        <v>0</v>
      </c>
      <c r="O23" s="171">
        <f>TRUMPF!U23</f>
        <v>0</v>
      </c>
      <c r="P23" s="171">
        <f>TRUMPF!V23</f>
        <v>0</v>
      </c>
      <c r="Q23" s="171">
        <f>TRUMPF!W23</f>
        <v>0</v>
      </c>
      <c r="R23" s="171">
        <f>TRUMPF!X23</f>
        <v>0</v>
      </c>
      <c r="S23" s="171">
        <f>TRUMPF!Y23</f>
        <v>0</v>
      </c>
      <c r="T23" s="171">
        <f t="shared" si="0"/>
        <v>0</v>
      </c>
      <c r="U23" s="180">
        <f>TRUMPF!Z23</f>
        <v>0</v>
      </c>
      <c r="V23" s="180">
        <f>TRUMPF!AA23</f>
        <v>0</v>
      </c>
      <c r="W23" s="180">
        <f>TRUMPF!AC23</f>
        <v>0</v>
      </c>
      <c r="X23" s="172">
        <f>TRUMPF!AD23</f>
        <v>0</v>
      </c>
      <c r="Y23" s="181">
        <f>TRUMPF!AE23</f>
        <v>0</v>
      </c>
      <c r="AA23" s="321"/>
    </row>
    <row r="24" spans="1:27" ht="16.5" thickBot="1">
      <c r="A24" s="303"/>
      <c r="B24" s="164">
        <f t="shared" si="1"/>
        <v>18</v>
      </c>
      <c r="C24" s="182">
        <f>Гибка!F24</f>
        <v>0</v>
      </c>
      <c r="D24" s="182">
        <f>Гибка!H24</f>
        <v>0</v>
      </c>
      <c r="E24" s="155">
        <f>Гибка!I24</f>
        <v>0</v>
      </c>
      <c r="F24" s="155">
        <f>TRUMPF!K24</f>
        <v>0</v>
      </c>
      <c r="G24" s="183">
        <f>Гибка!K24</f>
        <v>0</v>
      </c>
      <c r="H24" s="183">
        <f>TRUMPF!N24</f>
        <v>0</v>
      </c>
      <c r="I24" s="183">
        <f>TRUMPF!O24</f>
        <v>0</v>
      </c>
      <c r="J24" s="183">
        <f>Гибка!O24</f>
        <v>0</v>
      </c>
      <c r="K24" s="183">
        <f>Гибка!P24</f>
        <v>-6</v>
      </c>
      <c r="L24" s="183">
        <f>Гибка!Q24</f>
        <v>0</v>
      </c>
      <c r="M24" s="183">
        <f>Гибка!R24</f>
        <v>0</v>
      </c>
      <c r="N24" s="183">
        <f>TRUMPF!T24</f>
        <v>0</v>
      </c>
      <c r="O24" s="183">
        <f>TRUMPF!U24</f>
        <v>0</v>
      </c>
      <c r="P24" s="183">
        <f>TRUMPF!V24</f>
        <v>0</v>
      </c>
      <c r="Q24" s="183">
        <f>TRUMPF!W24</f>
        <v>0</v>
      </c>
      <c r="R24" s="183">
        <f>TRUMPF!X24</f>
        <v>0</v>
      </c>
      <c r="S24" s="183">
        <f>TRUMPF!Y24</f>
        <v>0</v>
      </c>
      <c r="T24" s="183">
        <f t="shared" si="0"/>
        <v>0</v>
      </c>
      <c r="U24" s="155">
        <f>TRUMPF!Z24</f>
        <v>0</v>
      </c>
      <c r="V24" s="155">
        <f>TRUMPF!AA24</f>
        <v>0</v>
      </c>
      <c r="W24" s="155">
        <f>TRUMPF!AC24</f>
        <v>0</v>
      </c>
      <c r="X24" s="173">
        <f>TRUMPF!AD24</f>
        <v>0</v>
      </c>
      <c r="Y24" s="184">
        <f>TRUMPF!AE24</f>
        <v>0</v>
      </c>
      <c r="AA24" s="321"/>
    </row>
    <row r="25" spans="1:27" ht="18.75">
      <c r="A25" s="303"/>
      <c r="S25" s="139"/>
      <c r="T25" s="139"/>
      <c r="U25" s="139"/>
      <c r="V25" s="139"/>
      <c r="W25" s="139"/>
      <c r="X25" s="139"/>
      <c r="Y25" s="139"/>
      <c r="AA25" s="321"/>
    </row>
    <row r="26" spans="1:27" ht="28.5">
      <c r="A26" s="303"/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4"/>
      <c r="S26" s="324"/>
      <c r="T26" s="324"/>
      <c r="U26" s="324"/>
      <c r="V26" s="186"/>
      <c r="W26" s="197"/>
      <c r="X26" s="101"/>
      <c r="Y26" s="141"/>
      <c r="AA26" s="321"/>
    </row>
    <row r="27" spans="1:27" ht="23.25">
      <c r="A27" s="303"/>
      <c r="B27" s="325" t="s">
        <v>174</v>
      </c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6"/>
      <c r="S27" s="326"/>
      <c r="T27" s="326"/>
      <c r="U27" s="326"/>
      <c r="V27" s="191"/>
      <c r="W27" s="198"/>
      <c r="X27" s="101"/>
      <c r="Y27" s="141"/>
    </row>
    <row r="28" spans="1:27" ht="23.25">
      <c r="A28" s="303"/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35"/>
      <c r="Q28" s="192"/>
      <c r="R28" s="192"/>
      <c r="S28" s="193"/>
      <c r="T28" s="193"/>
      <c r="U28" s="193"/>
      <c r="V28" s="193"/>
      <c r="W28" s="193"/>
      <c r="X28" s="101"/>
      <c r="Y28" s="141"/>
    </row>
    <row r="29" spans="1:27" ht="23.25">
      <c r="A29" s="303"/>
      <c r="B29" s="192"/>
      <c r="C29" s="192"/>
      <c r="D29" s="192"/>
      <c r="E29" s="192"/>
      <c r="F29" s="192"/>
      <c r="G29" s="192"/>
      <c r="H29" s="192"/>
      <c r="I29" s="194"/>
      <c r="J29" s="194"/>
      <c r="K29" s="192"/>
      <c r="L29" s="192"/>
      <c r="M29" s="192"/>
      <c r="N29" s="192"/>
      <c r="O29" s="192"/>
      <c r="P29" s="135"/>
      <c r="Q29" s="135"/>
      <c r="R29" s="193"/>
      <c r="S29" s="327"/>
      <c r="T29" s="327"/>
      <c r="U29" s="327"/>
      <c r="V29" s="327"/>
      <c r="W29" s="327"/>
      <c r="X29" s="101"/>
      <c r="Y29" s="141"/>
    </row>
    <row r="30" spans="1:27" ht="23.25">
      <c r="A30" s="303"/>
      <c r="B30" s="192" t="s">
        <v>175</v>
      </c>
      <c r="C30" s="192"/>
      <c r="D30" s="192"/>
      <c r="E30" s="192"/>
      <c r="F30" s="192"/>
      <c r="G30" s="192"/>
      <c r="H30" s="192"/>
      <c r="I30" s="135"/>
      <c r="J30" s="135"/>
      <c r="K30" s="192"/>
      <c r="L30" s="192"/>
      <c r="M30" s="192" t="s">
        <v>176</v>
      </c>
      <c r="N30" s="192"/>
      <c r="O30" s="192"/>
      <c r="P30" s="135"/>
      <c r="Q30" s="135"/>
      <c r="R30" s="193"/>
      <c r="S30" s="192"/>
      <c r="T30" s="192"/>
      <c r="U30" s="192"/>
      <c r="V30" s="192"/>
      <c r="W30" s="192"/>
      <c r="X30" s="101"/>
      <c r="Y30" s="141"/>
    </row>
    <row r="31" spans="1:27" ht="23.25">
      <c r="A31" s="303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93"/>
      <c r="Q31" s="135"/>
      <c r="R31" s="193"/>
      <c r="S31" s="135"/>
      <c r="T31" s="135"/>
      <c r="U31" s="135"/>
      <c r="V31" s="135"/>
      <c r="W31" s="135"/>
      <c r="X31" s="101"/>
      <c r="Y31" s="141"/>
    </row>
    <row r="32" spans="1:27" ht="23.25">
      <c r="A32" s="303"/>
      <c r="B32" s="135"/>
      <c r="C32" s="135"/>
      <c r="D32" s="135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01"/>
      <c r="Y32" s="141"/>
    </row>
    <row r="33" spans="2:25" ht="23.25">
      <c r="B33" s="192" t="s">
        <v>177</v>
      </c>
      <c r="C33" s="135"/>
      <c r="D33" s="135"/>
      <c r="E33" s="192"/>
      <c r="F33" s="192"/>
      <c r="G33" s="192"/>
      <c r="H33" s="192"/>
      <c r="I33" s="192"/>
      <c r="J33" s="192"/>
      <c r="K33" s="192"/>
      <c r="L33" s="192"/>
      <c r="M33" s="192" t="s">
        <v>176</v>
      </c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01"/>
      <c r="Y33" s="141"/>
    </row>
    <row r="34" spans="2:25" ht="23.25">
      <c r="B34" s="192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01"/>
      <c r="Y34" s="141"/>
    </row>
    <row r="35" spans="2:25" ht="23.25">
      <c r="B35" s="192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92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0"/>
      <c r="Y35" s="130"/>
    </row>
    <row r="36" spans="2:25" ht="22.5">
      <c r="B36" s="130"/>
      <c r="C36" s="146"/>
      <c r="D36" s="146"/>
      <c r="E36" s="145"/>
      <c r="F36" s="145"/>
      <c r="G36" s="145"/>
      <c r="H36" s="145"/>
      <c r="I36" s="145"/>
      <c r="J36" s="145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30"/>
      <c r="Y36" s="130"/>
    </row>
  </sheetData>
  <mergeCells count="19">
    <mergeCell ref="A17:A32"/>
    <mergeCell ref="B26:Q26"/>
    <mergeCell ref="R26:S26"/>
    <mergeCell ref="T26:U26"/>
    <mergeCell ref="B27:Q27"/>
    <mergeCell ref="R27:S27"/>
    <mergeCell ref="S29:W29"/>
    <mergeCell ref="T27:U27"/>
    <mergeCell ref="B5:B6"/>
    <mergeCell ref="C5:C6"/>
    <mergeCell ref="J5:K5"/>
    <mergeCell ref="N5:O5"/>
    <mergeCell ref="P5:Q5"/>
    <mergeCell ref="I5:I6"/>
    <mergeCell ref="R5:T5"/>
    <mergeCell ref="M5:M6"/>
    <mergeCell ref="AA9:AA26"/>
    <mergeCell ref="D5:D6"/>
    <mergeCell ref="AA5:AA8"/>
  </mergeCells>
  <pageMargins left="0" right="0" top="0" bottom="0" header="0.31496062992125984" footer="0.31496062992125984"/>
  <pageSetup paperSize="9" scale="50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I24" sqref="I24"/>
    </sheetView>
  </sheetViews>
  <sheetFormatPr defaultRowHeight="15"/>
  <sheetData>
    <row r="1" spans="1:13">
      <c r="A1" s="201"/>
      <c r="B1" s="328" t="s">
        <v>179</v>
      </c>
      <c r="C1" s="299"/>
      <c r="D1" s="299"/>
      <c r="E1" s="299"/>
      <c r="F1" s="299"/>
      <c r="G1" s="329"/>
      <c r="H1" s="330" t="s">
        <v>180</v>
      </c>
      <c r="I1" s="299"/>
      <c r="J1" s="299"/>
      <c r="K1" s="299"/>
      <c r="L1" s="299"/>
      <c r="M1" s="329"/>
    </row>
    <row r="2" spans="1:13">
      <c r="A2" s="202"/>
      <c r="B2" s="331" t="s">
        <v>181</v>
      </c>
      <c r="C2" s="291"/>
      <c r="D2" s="291"/>
      <c r="E2" s="291"/>
      <c r="F2" s="291"/>
      <c r="G2" s="332"/>
      <c r="H2" s="333" t="s">
        <v>181</v>
      </c>
      <c r="I2" s="291"/>
      <c r="J2" s="291"/>
      <c r="K2" s="291"/>
      <c r="L2" s="291"/>
      <c r="M2" s="332"/>
    </row>
    <row r="3" spans="1:13">
      <c r="A3" s="202" t="s">
        <v>182</v>
      </c>
      <c r="B3" s="137">
        <v>1</v>
      </c>
      <c r="C3" s="61">
        <v>2</v>
      </c>
      <c r="D3" s="61">
        <v>3</v>
      </c>
      <c r="E3" s="61">
        <v>4</v>
      </c>
      <c r="F3" s="61">
        <v>5</v>
      </c>
      <c r="G3" s="203">
        <v>6</v>
      </c>
      <c r="H3" s="204">
        <v>1</v>
      </c>
      <c r="I3" s="61">
        <v>2</v>
      </c>
      <c r="J3" s="61">
        <v>3</v>
      </c>
      <c r="K3" s="61">
        <v>4</v>
      </c>
      <c r="L3" s="61">
        <v>5</v>
      </c>
      <c r="M3" s="203">
        <v>6</v>
      </c>
    </row>
    <row r="4" spans="1:13">
      <c r="A4" s="202" t="s">
        <v>183</v>
      </c>
      <c r="B4" s="137">
        <v>6.0000000000000001E-3</v>
      </c>
      <c r="C4" s="61">
        <v>8.0000000000000002E-3</v>
      </c>
      <c r="D4" s="61">
        <v>1.2999999999999999E-2</v>
      </c>
      <c r="E4" s="61">
        <v>1.7000000000000001E-2</v>
      </c>
      <c r="F4" s="61">
        <v>2.1000000000000001E-2</v>
      </c>
      <c r="G4" s="203">
        <v>2.5000000000000001E-2</v>
      </c>
      <c r="H4" s="204">
        <v>8.0000000000000002E-3</v>
      </c>
      <c r="I4" s="61">
        <v>1.4E-2</v>
      </c>
      <c r="J4" s="61">
        <v>2.1000000000000001E-2</v>
      </c>
      <c r="K4" s="61">
        <v>2.7E-2</v>
      </c>
      <c r="L4" s="61">
        <v>3.3000000000000002E-2</v>
      </c>
      <c r="M4" s="203">
        <v>0.04</v>
      </c>
    </row>
    <row r="5" spans="1:13">
      <c r="A5" s="202" t="s">
        <v>184</v>
      </c>
      <c r="B5" s="137">
        <v>6.0000000000000001E-3</v>
      </c>
      <c r="C5" s="61">
        <v>1.2E-2</v>
      </c>
      <c r="D5" s="61">
        <v>1.7999999999999999E-2</v>
      </c>
      <c r="E5" s="61">
        <v>2.4E-2</v>
      </c>
      <c r="F5" s="61">
        <v>2.8000000000000001E-2</v>
      </c>
      <c r="G5" s="203">
        <v>3.5000000000000003E-2</v>
      </c>
      <c r="H5" s="204">
        <v>0.01</v>
      </c>
      <c r="I5" s="61">
        <v>1.7999999999999999E-2</v>
      </c>
      <c r="J5" s="61">
        <v>2.5999999999999999E-2</v>
      </c>
      <c r="K5" s="61">
        <v>3.4000000000000002E-2</v>
      </c>
      <c r="L5" s="61">
        <v>4.2000000000000003E-2</v>
      </c>
      <c r="M5" s="203">
        <v>0.05</v>
      </c>
    </row>
    <row r="6" spans="1:13" ht="15.75" thickBot="1">
      <c r="A6" s="205" t="s">
        <v>185</v>
      </c>
      <c r="B6" s="138">
        <v>8.0000000000000002E-3</v>
      </c>
      <c r="C6" s="206">
        <v>1.4999999999999999E-2</v>
      </c>
      <c r="D6" s="206">
        <v>2.3E-2</v>
      </c>
      <c r="E6" s="206">
        <v>3.2000000000000001E-2</v>
      </c>
      <c r="F6" s="206">
        <v>3.6999999999999998E-2</v>
      </c>
      <c r="G6" s="207">
        <v>4.5999999999999999E-2</v>
      </c>
      <c r="H6" s="208">
        <v>1.4E-2</v>
      </c>
      <c r="I6" s="206">
        <v>2.5000000000000001E-2</v>
      </c>
      <c r="J6" s="206">
        <v>3.6999999999999998E-2</v>
      </c>
      <c r="K6" s="206">
        <v>4.9000000000000002E-2</v>
      </c>
      <c r="L6" s="206">
        <v>0.06</v>
      </c>
      <c r="M6" s="207">
        <v>7.1999999999999995E-2</v>
      </c>
    </row>
  </sheetData>
  <mergeCells count="4">
    <mergeCell ref="B1:G1"/>
    <mergeCell ref="H1:M1"/>
    <mergeCell ref="B2:G2"/>
    <mergeCell ref="H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3"/>
  <sheetViews>
    <sheetView workbookViewId="0">
      <selection activeCell="R34" sqref="R34"/>
    </sheetView>
  </sheetViews>
  <sheetFormatPr defaultRowHeight="15"/>
  <cols>
    <col min="1" max="1" width="11.5703125" customWidth="1"/>
    <col min="2" max="2" width="15" customWidth="1"/>
    <col min="4" max="4" width="17" customWidth="1"/>
    <col min="6" max="6" width="9.140625" style="69"/>
    <col min="7" max="7" width="12.5703125" style="69" customWidth="1"/>
    <col min="8" max="8" width="10.7109375" customWidth="1"/>
    <col min="9" max="9" width="13.28515625" customWidth="1"/>
    <col min="10" max="10" width="12.5703125" customWidth="1"/>
    <col min="11" max="14" width="0" hidden="1" customWidth="1"/>
    <col min="16" max="16" width="17.5703125" customWidth="1"/>
    <col min="17" max="17" width="15.140625" customWidth="1"/>
    <col min="18" max="18" width="17.85546875" customWidth="1"/>
  </cols>
  <sheetData>
    <row r="1" spans="1:18">
      <c r="A1" t="s">
        <v>43</v>
      </c>
    </row>
    <row r="2" spans="1:18">
      <c r="G2" s="8" t="s">
        <v>105</v>
      </c>
    </row>
    <row r="3" spans="1:18" ht="21">
      <c r="A3" s="58" t="s">
        <v>46</v>
      </c>
      <c r="E3" s="58">
        <f>'Исх данные'!H6</f>
        <v>0</v>
      </c>
    </row>
    <row r="5" spans="1:18" ht="18.75">
      <c r="A5" s="63" t="s">
        <v>47</v>
      </c>
      <c r="D5" s="63">
        <f>'Исх данные'!B9</f>
        <v>0</v>
      </c>
      <c r="E5" s="63"/>
    </row>
    <row r="7" spans="1:18" s="55" customFormat="1" ht="24.75" customHeight="1">
      <c r="A7" s="59"/>
      <c r="B7" s="248" t="s">
        <v>44</v>
      </c>
      <c r="C7" s="249"/>
      <c r="D7" s="249"/>
      <c r="E7" s="249"/>
      <c r="F7" s="253" t="s">
        <v>88</v>
      </c>
      <c r="G7" s="251" t="s">
        <v>108</v>
      </c>
      <c r="H7" s="253" t="s">
        <v>96</v>
      </c>
      <c r="I7" s="251" t="s">
        <v>109</v>
      </c>
      <c r="J7" s="253" t="s">
        <v>96</v>
      </c>
      <c r="M7" s="55">
        <v>2.4E-2</v>
      </c>
      <c r="N7" s="95">
        <v>2.4E-2</v>
      </c>
      <c r="Q7" s="247"/>
      <c r="R7" s="247"/>
    </row>
    <row r="8" spans="1:18" s="55" customFormat="1" ht="48.75" customHeight="1">
      <c r="A8" s="59"/>
      <c r="B8" s="117" t="s">
        <v>130</v>
      </c>
      <c r="C8" s="60" t="s">
        <v>0</v>
      </c>
      <c r="D8" s="125" t="s">
        <v>131</v>
      </c>
      <c r="E8" s="60" t="s">
        <v>0</v>
      </c>
      <c r="F8" s="254"/>
      <c r="G8" s="252"/>
      <c r="H8" s="254"/>
      <c r="I8" s="252"/>
      <c r="J8" s="254"/>
      <c r="K8" s="250" t="s">
        <v>83</v>
      </c>
      <c r="L8" s="250"/>
      <c r="M8" s="95" t="s">
        <v>2</v>
      </c>
      <c r="Q8" s="117"/>
      <c r="R8" s="125"/>
    </row>
    <row r="9" spans="1:18">
      <c r="A9" s="61">
        <f>'Исх данные'!A9</f>
        <v>0</v>
      </c>
      <c r="B9" s="62">
        <f>'Исх данные'!G9</f>
        <v>0</v>
      </c>
      <c r="C9" s="62">
        <f>'Исх данные'!Q9*2</f>
        <v>0</v>
      </c>
      <c r="D9" s="70">
        <f>'Исх данные'!H9</f>
        <v>0</v>
      </c>
      <c r="E9" s="62">
        <f>'Исх данные'!Q9*2</f>
        <v>0</v>
      </c>
      <c r="F9" s="62">
        <v>1</v>
      </c>
      <c r="G9" s="62"/>
      <c r="H9" s="61"/>
      <c r="I9" s="61"/>
      <c r="J9" s="61"/>
      <c r="K9">
        <f>IF(B9&gt;0,IF(B9=100,'Исх данные'!Q9*2.66,4.32*'Исх данные'!Q9),0)</f>
        <v>0</v>
      </c>
      <c r="L9">
        <f>IF(D9&gt;0,IF(D9=100,'Исх данные'!Q9*2.66,4.32*'Исх данные'!Q9),0)</f>
        <v>0</v>
      </c>
      <c r="M9">
        <f>IF(B9&gt;0,$M$7*2*C9,0)</f>
        <v>0</v>
      </c>
      <c r="N9">
        <f>IF(D9&gt;0,$N$7*2*E9,0)</f>
        <v>0</v>
      </c>
      <c r="Q9" s="61"/>
      <c r="R9" s="61"/>
    </row>
    <row r="10" spans="1:18">
      <c r="A10" s="61">
        <f>'Исх данные'!A10</f>
        <v>0</v>
      </c>
      <c r="B10" s="62">
        <f>'Исх данные'!G10</f>
        <v>0</v>
      </c>
      <c r="C10" s="62">
        <f>'Исх данные'!Q10*2</f>
        <v>0</v>
      </c>
      <c r="D10" s="70">
        <f>'Исх данные'!H10</f>
        <v>0</v>
      </c>
      <c r="E10" s="62">
        <f>'Исх данные'!Q10*2</f>
        <v>0</v>
      </c>
      <c r="F10" s="62">
        <v>1</v>
      </c>
      <c r="G10" s="62"/>
      <c r="H10" s="61"/>
      <c r="I10" s="61"/>
      <c r="J10" s="61"/>
      <c r="K10">
        <f>IF(B10&gt;0,IF(B10=100,'Исх данные'!Q10*2.66,4.32*'Исх данные'!Q10),0)</f>
        <v>0</v>
      </c>
      <c r="L10">
        <f>IF(D10&gt;0,IF(D10=100,'Исх данные'!Q10*2.66,4.32*'Исх данные'!Q10),0)</f>
        <v>0</v>
      </c>
      <c r="M10">
        <f t="shared" ref="M10:M27" si="0">IF(B10&gt;0,$M$7*2*C10,0)</f>
        <v>0</v>
      </c>
      <c r="N10">
        <f t="shared" ref="N10:N27" si="1">IF(D10&gt;0,$N$7*2*E10,0)</f>
        <v>0</v>
      </c>
      <c r="Q10" s="61"/>
      <c r="R10" s="61"/>
    </row>
    <row r="11" spans="1:18">
      <c r="A11" s="61">
        <f>'Исх данные'!A11</f>
        <v>0</v>
      </c>
      <c r="B11" s="62">
        <f>'Исх данные'!G11</f>
        <v>0</v>
      </c>
      <c r="C11" s="62">
        <f>'Исх данные'!Q11*2</f>
        <v>0</v>
      </c>
      <c r="D11" s="70">
        <f>'Исх данные'!H11</f>
        <v>0</v>
      </c>
      <c r="E11" s="62">
        <f>'Исх данные'!Q11*2</f>
        <v>0</v>
      </c>
      <c r="F11" s="62">
        <v>1</v>
      </c>
      <c r="G11" s="62"/>
      <c r="H11" s="61"/>
      <c r="I11" s="61"/>
      <c r="J11" s="61"/>
      <c r="K11">
        <f>IF(B11&gt;0,IF(B11=100,'Исх данные'!Q11*2.66,4.32*'Исх данные'!Q11),0)</f>
        <v>0</v>
      </c>
      <c r="L11">
        <f>IF(D11&gt;0,IF(D11=100,'Исх данные'!Q11*2.66,4.32*'Исх данные'!Q11),0)</f>
        <v>0</v>
      </c>
      <c r="M11">
        <f t="shared" si="0"/>
        <v>0</v>
      </c>
      <c r="N11">
        <f t="shared" si="1"/>
        <v>0</v>
      </c>
      <c r="Q11" s="61"/>
      <c r="R11" s="61"/>
    </row>
    <row r="12" spans="1:18">
      <c r="A12" s="61">
        <f>'Исх данные'!A12</f>
        <v>0</v>
      </c>
      <c r="B12" s="62">
        <f>'Исх данные'!G12</f>
        <v>0</v>
      </c>
      <c r="C12" s="62">
        <f>'Исх данные'!Q12*2</f>
        <v>0</v>
      </c>
      <c r="D12" s="70">
        <f>'Исх данные'!H12</f>
        <v>0</v>
      </c>
      <c r="E12" s="62">
        <f>'Исх данные'!Q12*2</f>
        <v>0</v>
      </c>
      <c r="F12" s="62">
        <v>1</v>
      </c>
      <c r="G12" s="62"/>
      <c r="H12" s="61"/>
      <c r="I12" s="61"/>
      <c r="J12" s="61"/>
      <c r="K12">
        <f>IF(B12&gt;0,IF(B12=100,'Исх данные'!Q12*2.66,4.32*'Исх данные'!Q12),0)</f>
        <v>0</v>
      </c>
      <c r="L12">
        <f>IF(D12&gt;0,IF(D12=100,'Исх данные'!Q12*2.66,4.32*'Исх данные'!Q12),0)</f>
        <v>0</v>
      </c>
      <c r="M12">
        <f t="shared" si="0"/>
        <v>0</v>
      </c>
      <c r="N12">
        <f t="shared" si="1"/>
        <v>0</v>
      </c>
      <c r="Q12" s="61"/>
      <c r="R12" s="61"/>
    </row>
    <row r="13" spans="1:18">
      <c r="A13" s="61">
        <f>'Исх данные'!A13</f>
        <v>0</v>
      </c>
      <c r="B13" s="62">
        <f>'Исх данные'!G13</f>
        <v>0</v>
      </c>
      <c r="C13" s="62">
        <f>'Исх данные'!Q13*2</f>
        <v>0</v>
      </c>
      <c r="D13" s="70">
        <f>'Исх данные'!H13</f>
        <v>0</v>
      </c>
      <c r="E13" s="62">
        <f>'Исх данные'!Q13*2</f>
        <v>0</v>
      </c>
      <c r="F13" s="62">
        <v>1</v>
      </c>
      <c r="G13" s="62"/>
      <c r="H13" s="61"/>
      <c r="I13" s="61"/>
      <c r="J13" s="61"/>
      <c r="K13">
        <f>IF(B13&gt;0,IF(B13=100,'Исх данные'!Q13*2.66,4.32*'Исх данные'!Q13),0)</f>
        <v>0</v>
      </c>
      <c r="L13">
        <f>IF(D13&gt;0,IF(D13=100,'Исх данные'!Q13*2.66,4.32*'Исх данные'!Q13),0)</f>
        <v>0</v>
      </c>
      <c r="M13">
        <f t="shared" si="0"/>
        <v>0</v>
      </c>
      <c r="N13">
        <f t="shared" si="1"/>
        <v>0</v>
      </c>
      <c r="Q13" s="61"/>
      <c r="R13" s="61"/>
    </row>
    <row r="14" spans="1:18">
      <c r="A14" s="61">
        <f>'Исх данные'!A14</f>
        <v>0</v>
      </c>
      <c r="B14" s="62">
        <f>'Исх данные'!G14</f>
        <v>0</v>
      </c>
      <c r="C14" s="62">
        <f>'Исх данные'!Q14*2</f>
        <v>0</v>
      </c>
      <c r="D14" s="70">
        <f>'Исх данные'!H14</f>
        <v>0</v>
      </c>
      <c r="E14" s="62">
        <f>'Исх данные'!Q14*2</f>
        <v>0</v>
      </c>
      <c r="F14" s="62">
        <v>1</v>
      </c>
      <c r="G14" s="62"/>
      <c r="H14" s="61"/>
      <c r="I14" s="61"/>
      <c r="J14" s="61"/>
      <c r="K14">
        <f>IF(B14&gt;0,IF(B14=100,'Исх данные'!Q14*2.66,4.32*'Исх данные'!Q14),0)</f>
        <v>0</v>
      </c>
      <c r="L14">
        <f>IF(D14&gt;0,IF(D14=100,'Исх данные'!Q14*2.66,4.32*'Исх данные'!Q14),0)</f>
        <v>0</v>
      </c>
      <c r="M14">
        <f t="shared" si="0"/>
        <v>0</v>
      </c>
      <c r="N14">
        <f t="shared" si="1"/>
        <v>0</v>
      </c>
      <c r="Q14" s="61"/>
      <c r="R14" s="61"/>
    </row>
    <row r="15" spans="1:18">
      <c r="A15" s="61">
        <f>'Исх данные'!A15</f>
        <v>0</v>
      </c>
      <c r="B15" s="62">
        <f>'Исх данные'!G15</f>
        <v>0</v>
      </c>
      <c r="C15" s="62">
        <f>'Исх данные'!Q15*2</f>
        <v>0</v>
      </c>
      <c r="D15" s="70">
        <f>'Исх данные'!H15</f>
        <v>0</v>
      </c>
      <c r="E15" s="62">
        <f>'Исх данные'!Q15*2</f>
        <v>0</v>
      </c>
      <c r="F15" s="62">
        <v>1</v>
      </c>
      <c r="G15" s="62"/>
      <c r="H15" s="61"/>
      <c r="I15" s="61"/>
      <c r="J15" s="61"/>
      <c r="K15">
        <f>IF(B15&gt;0,IF(B15=100,'Исх данные'!Q15*2.66,4.32*'Исх данные'!Q15),0)</f>
        <v>0</v>
      </c>
      <c r="L15">
        <f>IF(D15&gt;0,IF(D15=100,'Исх данные'!Q15*2.66,4.32*'Исх данные'!Q15),0)</f>
        <v>0</v>
      </c>
      <c r="M15">
        <f t="shared" si="0"/>
        <v>0</v>
      </c>
      <c r="N15">
        <f t="shared" si="1"/>
        <v>0</v>
      </c>
      <c r="Q15" s="61"/>
      <c r="R15" s="61"/>
    </row>
    <row r="16" spans="1:18">
      <c r="A16" s="61">
        <f>'Исх данные'!A16</f>
        <v>0</v>
      </c>
      <c r="B16" s="62">
        <f>'Исх данные'!G16</f>
        <v>0</v>
      </c>
      <c r="C16" s="62">
        <f>'Исх данные'!Q16*2</f>
        <v>0</v>
      </c>
      <c r="D16" s="70">
        <f>'Исх данные'!H16</f>
        <v>0</v>
      </c>
      <c r="E16" s="62">
        <f>'Исх данные'!Q16*2</f>
        <v>0</v>
      </c>
      <c r="F16" s="62">
        <v>1</v>
      </c>
      <c r="G16" s="62"/>
      <c r="H16" s="61"/>
      <c r="I16" s="61"/>
      <c r="J16" s="61"/>
      <c r="K16">
        <f>IF(B16&gt;0,IF(B16=100,'Исх данные'!Q16*2.66,4.32*'Исх данные'!Q16),0)</f>
        <v>0</v>
      </c>
      <c r="L16">
        <f>IF(D16&gt;0,IF(D16=100,'Исх данные'!Q16*2.66,4.32*'Исх данные'!Q16),0)</f>
        <v>0</v>
      </c>
      <c r="M16">
        <f t="shared" si="0"/>
        <v>0</v>
      </c>
      <c r="N16">
        <f t="shared" si="1"/>
        <v>0</v>
      </c>
      <c r="Q16" s="61"/>
      <c r="R16" s="61"/>
    </row>
    <row r="17" spans="1:18">
      <c r="A17" s="61">
        <f>'Исх данные'!A17</f>
        <v>0</v>
      </c>
      <c r="B17" s="62">
        <f>'Исх данные'!G17</f>
        <v>0</v>
      </c>
      <c r="C17" s="62">
        <f>'Исх данные'!Q17*2</f>
        <v>0</v>
      </c>
      <c r="D17" s="70">
        <f>'Исх данные'!H17</f>
        <v>0</v>
      </c>
      <c r="E17" s="62">
        <f>'Исх данные'!Q17*2</f>
        <v>0</v>
      </c>
      <c r="F17" s="62">
        <v>1</v>
      </c>
      <c r="G17" s="62"/>
      <c r="H17" s="61"/>
      <c r="I17" s="61"/>
      <c r="J17" s="61"/>
      <c r="K17">
        <f>IF(B17&gt;0,IF(B17=100,'Исх данные'!Q17*2.66,4.32*'Исх данные'!Q17),0)</f>
        <v>0</v>
      </c>
      <c r="L17">
        <f>IF(D17&gt;0,IF(D17=100,'Исх данные'!Q17*2.66,4.32*'Исх данные'!Q17),0)</f>
        <v>0</v>
      </c>
      <c r="M17">
        <f t="shared" si="0"/>
        <v>0</v>
      </c>
      <c r="N17">
        <f t="shared" si="1"/>
        <v>0</v>
      </c>
      <c r="Q17" s="61"/>
      <c r="R17" s="61"/>
    </row>
    <row r="18" spans="1:18">
      <c r="A18" s="61">
        <f>'Исх данные'!A18</f>
        <v>0</v>
      </c>
      <c r="B18" s="62">
        <f>'Исх данные'!G18</f>
        <v>0</v>
      </c>
      <c r="C18" s="62">
        <f>'Исх данные'!Q18*2</f>
        <v>0</v>
      </c>
      <c r="D18" s="70">
        <f>'Исх данные'!H18</f>
        <v>0</v>
      </c>
      <c r="E18" s="62">
        <f>'Исх данные'!Q18*2</f>
        <v>0</v>
      </c>
      <c r="F18" s="62">
        <v>1</v>
      </c>
      <c r="G18" s="62"/>
      <c r="H18" s="61"/>
      <c r="I18" s="61"/>
      <c r="J18" s="61"/>
      <c r="K18">
        <f>IF(B18&gt;0,IF(B18=100,'Исх данные'!Q18*2.66,4.32*'Исх данные'!Q18),0)</f>
        <v>0</v>
      </c>
      <c r="L18">
        <f>IF(D18&gt;0,IF(D18=100,'Исх данные'!Q18*2.66,4.32*'Исх данные'!Q18),0)</f>
        <v>0</v>
      </c>
      <c r="M18">
        <f t="shared" si="0"/>
        <v>0</v>
      </c>
      <c r="N18">
        <f t="shared" si="1"/>
        <v>0</v>
      </c>
      <c r="Q18" s="61"/>
      <c r="R18" s="61"/>
    </row>
    <row r="19" spans="1:18">
      <c r="A19" s="61">
        <f>'Исх данные'!A19</f>
        <v>0</v>
      </c>
      <c r="B19" s="62">
        <f>'Исх данные'!G19</f>
        <v>0</v>
      </c>
      <c r="C19" s="62">
        <f>'Исх данные'!Q19*2</f>
        <v>0</v>
      </c>
      <c r="D19" s="70">
        <f>'Исх данные'!H19</f>
        <v>0</v>
      </c>
      <c r="E19" s="62">
        <f>'Исх данные'!Q19*2</f>
        <v>0</v>
      </c>
      <c r="F19" s="62">
        <v>1</v>
      </c>
      <c r="G19" s="62"/>
      <c r="H19" s="61"/>
      <c r="I19" s="61"/>
      <c r="J19" s="61"/>
      <c r="K19">
        <f>IF(B19&gt;0,IF(B19=100,'Исх данные'!Q19*2.66,4.32*'Исх данные'!Q19),0)</f>
        <v>0</v>
      </c>
      <c r="L19">
        <f>IF(D19&gt;0,IF(D19=100,'Исх данные'!Q19*2.66,4.32*'Исх данные'!Q19),0)</f>
        <v>0</v>
      </c>
      <c r="M19">
        <f t="shared" si="0"/>
        <v>0</v>
      </c>
      <c r="N19">
        <f t="shared" si="1"/>
        <v>0</v>
      </c>
      <c r="Q19" s="61"/>
      <c r="R19" s="61"/>
    </row>
    <row r="20" spans="1:18">
      <c r="A20" s="61">
        <f>'Исх данные'!A20</f>
        <v>0</v>
      </c>
      <c r="B20" s="62">
        <f>'Исх данные'!G20</f>
        <v>0</v>
      </c>
      <c r="C20" s="62">
        <f>'Исх данные'!Q20*2</f>
        <v>0</v>
      </c>
      <c r="D20" s="70">
        <f>'Исх данные'!H20</f>
        <v>0</v>
      </c>
      <c r="E20" s="62">
        <f>'Исх данные'!Q20*2</f>
        <v>0</v>
      </c>
      <c r="F20" s="62">
        <v>1</v>
      </c>
      <c r="G20" s="62"/>
      <c r="H20" s="61"/>
      <c r="I20" s="61"/>
      <c r="J20" s="61"/>
      <c r="K20">
        <f>IF(B20&gt;0,IF(B20=100,'Исх данные'!Q20*2.66,4.32*'Исх данные'!Q20),0)</f>
        <v>0</v>
      </c>
      <c r="L20">
        <f>IF(D20&gt;0,IF(D20=100,'Исх данные'!Q20*2.66,4.32*'Исх данные'!Q20),0)</f>
        <v>0</v>
      </c>
      <c r="M20">
        <f t="shared" si="0"/>
        <v>0</v>
      </c>
      <c r="N20">
        <f t="shared" si="1"/>
        <v>0</v>
      </c>
      <c r="Q20" s="61"/>
      <c r="R20" s="61"/>
    </row>
    <row r="21" spans="1:18">
      <c r="A21" s="61">
        <f>'Исх данные'!A21</f>
        <v>0</v>
      </c>
      <c r="B21" s="62">
        <f>'Исх данные'!G21</f>
        <v>0</v>
      </c>
      <c r="C21" s="62">
        <f>'Исх данные'!Q21*2</f>
        <v>0</v>
      </c>
      <c r="D21" s="70">
        <f>'Исх данные'!H21</f>
        <v>0</v>
      </c>
      <c r="E21" s="62">
        <f>'Исх данные'!Q21*2</f>
        <v>0</v>
      </c>
      <c r="F21" s="62">
        <v>1</v>
      </c>
      <c r="G21" s="62"/>
      <c r="H21" s="61"/>
      <c r="I21" s="61"/>
      <c r="J21" s="61"/>
      <c r="K21">
        <f>IF(B21&gt;0,IF(B21=100,'Исх данные'!Q21*2.66,4.32*'Исх данные'!Q21),0)</f>
        <v>0</v>
      </c>
      <c r="L21">
        <f>IF(D21&gt;0,IF(D21=100,'Исх данные'!Q21*2.66,4.32*'Исх данные'!Q21),0)</f>
        <v>0</v>
      </c>
      <c r="M21">
        <f t="shared" si="0"/>
        <v>0</v>
      </c>
      <c r="N21">
        <f t="shared" si="1"/>
        <v>0</v>
      </c>
      <c r="Q21" s="61"/>
      <c r="R21" s="61"/>
    </row>
    <row r="22" spans="1:18">
      <c r="A22" s="61">
        <f>'Исх данные'!A22</f>
        <v>0</v>
      </c>
      <c r="B22" s="62">
        <f>'Исх данные'!G22</f>
        <v>0</v>
      </c>
      <c r="C22" s="62">
        <f>'Исх данные'!Q22*2</f>
        <v>0</v>
      </c>
      <c r="D22" s="70">
        <f>'Исх данные'!H22</f>
        <v>0</v>
      </c>
      <c r="E22" s="62">
        <f>'Исх данные'!Q22*2</f>
        <v>0</v>
      </c>
      <c r="F22" s="62">
        <v>1</v>
      </c>
      <c r="G22" s="62"/>
      <c r="H22" s="61"/>
      <c r="I22" s="61"/>
      <c r="J22" s="61"/>
      <c r="K22">
        <f>IF(B22&gt;0,IF(B22=100,'Исх данные'!Q22*2.66,4.32*'Исх данные'!Q22),0)</f>
        <v>0</v>
      </c>
      <c r="L22">
        <f>IF(D22&gt;0,IF(D22=100,'Исх данные'!Q22*2.66,4.32*'Исх данные'!Q22),0)</f>
        <v>0</v>
      </c>
      <c r="M22">
        <f t="shared" si="0"/>
        <v>0</v>
      </c>
      <c r="N22">
        <f t="shared" si="1"/>
        <v>0</v>
      </c>
      <c r="Q22" s="61"/>
      <c r="R22" s="61"/>
    </row>
    <row r="23" spans="1:18">
      <c r="A23" s="61">
        <f>'Исх данные'!A23</f>
        <v>0</v>
      </c>
      <c r="B23" s="62">
        <f>'Исх данные'!G23</f>
        <v>0</v>
      </c>
      <c r="C23" s="62">
        <f>'Исх данные'!Q23*2</f>
        <v>0</v>
      </c>
      <c r="D23" s="70">
        <f>'Исх данные'!H23</f>
        <v>0</v>
      </c>
      <c r="E23" s="62">
        <f>'Исх данные'!Q23*2</f>
        <v>0</v>
      </c>
      <c r="F23" s="62">
        <v>1</v>
      </c>
      <c r="G23" s="62"/>
      <c r="H23" s="61"/>
      <c r="I23" s="61"/>
      <c r="J23" s="61"/>
      <c r="K23">
        <f>IF(B23&gt;0,IF(B23=100,'Исх данные'!Q23*2.66,4.32*'Исх данные'!Q23),0)</f>
        <v>0</v>
      </c>
      <c r="L23">
        <f>IF(D23&gt;0,IF(D23=100,'Исх данные'!Q23*2.66,4.32*'Исх данные'!Q23),0)</f>
        <v>0</v>
      </c>
      <c r="M23">
        <f t="shared" si="0"/>
        <v>0</v>
      </c>
      <c r="N23">
        <f t="shared" si="1"/>
        <v>0</v>
      </c>
      <c r="Q23" s="61"/>
      <c r="R23" s="61"/>
    </row>
    <row r="24" spans="1:18">
      <c r="A24" s="61">
        <f>'Исх данные'!A24</f>
        <v>0</v>
      </c>
      <c r="B24" s="62">
        <f>'Исх данные'!G24</f>
        <v>0</v>
      </c>
      <c r="C24" s="62">
        <f>'Исх данные'!Q24*2</f>
        <v>0</v>
      </c>
      <c r="D24" s="70">
        <f>'Исх данные'!H24</f>
        <v>0</v>
      </c>
      <c r="E24" s="62">
        <f>'Исх данные'!Q24*2</f>
        <v>0</v>
      </c>
      <c r="F24" s="62">
        <v>1</v>
      </c>
      <c r="G24" s="62"/>
      <c r="H24" s="61"/>
      <c r="I24" s="61"/>
      <c r="J24" s="61"/>
      <c r="K24">
        <f>IF(B24&gt;0,IF(B24=100,'Исх данные'!Q24*2.66,4.32*'Исх данные'!Q24),0)</f>
        <v>0</v>
      </c>
      <c r="L24">
        <f>IF(D24&gt;0,IF(D24=100,'Исх данные'!Q24*2.66,4.32*'Исх данные'!Q24),0)</f>
        <v>0</v>
      </c>
      <c r="M24">
        <f t="shared" si="0"/>
        <v>0</v>
      </c>
      <c r="N24">
        <f t="shared" si="1"/>
        <v>0</v>
      </c>
      <c r="Q24" s="61"/>
      <c r="R24" s="61"/>
    </row>
    <row r="25" spans="1:18">
      <c r="A25" s="61">
        <f>'Исх данные'!A25</f>
        <v>0</v>
      </c>
      <c r="B25" s="62">
        <f>'Исх данные'!G25</f>
        <v>0</v>
      </c>
      <c r="C25" s="62">
        <f>'Исх данные'!Q25*2</f>
        <v>0</v>
      </c>
      <c r="D25" s="70">
        <f>'Исх данные'!H25</f>
        <v>0</v>
      </c>
      <c r="E25" s="62">
        <f>'Исх данные'!Q25*2</f>
        <v>0</v>
      </c>
      <c r="F25" s="62">
        <v>1</v>
      </c>
      <c r="G25" s="62"/>
      <c r="H25" s="61"/>
      <c r="I25" s="61"/>
      <c r="J25" s="61"/>
      <c r="K25">
        <f>IF(B25&gt;0,IF(B25=100,'Исх данные'!Q25*2.66,4.32*'Исх данные'!Q25),0)</f>
        <v>0</v>
      </c>
      <c r="L25">
        <f>IF(D25&gt;0,IF(D25=100,'Исх данные'!Q25*2.66,4.32*'Исх данные'!Q25),0)</f>
        <v>0</v>
      </c>
      <c r="M25">
        <f t="shared" si="0"/>
        <v>0</v>
      </c>
      <c r="N25">
        <f t="shared" si="1"/>
        <v>0</v>
      </c>
      <c r="Q25" s="61"/>
      <c r="R25" s="61"/>
    </row>
    <row r="26" spans="1:18">
      <c r="A26" s="61">
        <f>'Исх данные'!A26</f>
        <v>0</v>
      </c>
      <c r="B26" s="62">
        <f>'Исх данные'!G26</f>
        <v>0</v>
      </c>
      <c r="C26" s="62">
        <f>'Исх данные'!Q26*2</f>
        <v>0</v>
      </c>
      <c r="D26" s="70">
        <f>'Исх данные'!H26</f>
        <v>0</v>
      </c>
      <c r="E26" s="62">
        <f>'Исх данные'!Q26*2</f>
        <v>0</v>
      </c>
      <c r="F26" s="62">
        <v>1</v>
      </c>
      <c r="G26" s="62"/>
      <c r="H26" s="61"/>
      <c r="I26" s="61"/>
      <c r="J26" s="61"/>
      <c r="K26">
        <f>IF(B26&gt;0,IF(B26=100,'Исх данные'!Q26*2.66,4.32*'Исх данные'!Q26),0)</f>
        <v>0</v>
      </c>
      <c r="L26">
        <f>IF(D26&gt;0,IF(D26=100,'Исх данные'!Q26*2.66,4.32*'Исх данные'!Q26),0)</f>
        <v>0</v>
      </c>
      <c r="M26">
        <f t="shared" si="0"/>
        <v>0</v>
      </c>
      <c r="N26">
        <f t="shared" si="1"/>
        <v>0</v>
      </c>
      <c r="Q26" s="61"/>
      <c r="R26" s="61"/>
    </row>
    <row r="27" spans="1:18" ht="15.75" thickBot="1">
      <c r="A27" s="61">
        <f>'Исх данные'!A26</f>
        <v>0</v>
      </c>
      <c r="B27" s="62">
        <f>'Исх данные'!G27</f>
        <v>0</v>
      </c>
      <c r="C27" s="62">
        <f>'Исх данные'!Q27*2</f>
        <v>0</v>
      </c>
      <c r="D27" s="70">
        <f>'Исх данные'!H27</f>
        <v>0</v>
      </c>
      <c r="E27" s="62">
        <f>'Исх данные'!Q27*2</f>
        <v>0</v>
      </c>
      <c r="F27" s="62"/>
      <c r="G27" s="62"/>
      <c r="H27" s="61"/>
      <c r="I27" s="61"/>
      <c r="J27" s="61"/>
      <c r="K27">
        <f>IF(B27&gt;0,IF(B27=100,'Исх данные'!Q27*2.66,4.32*'Исх данные'!Q27),0)</f>
        <v>0</v>
      </c>
      <c r="L27">
        <f>IF(D27&gt;0,IF(D27=100,'Исх данные'!Q27*2.66,4.32*'Исх данные'!Q27),0)</f>
        <v>0</v>
      </c>
      <c r="M27">
        <f t="shared" si="0"/>
        <v>0</v>
      </c>
      <c r="N27">
        <f t="shared" si="1"/>
        <v>0</v>
      </c>
      <c r="Q27" s="120"/>
      <c r="R27" s="120"/>
    </row>
    <row r="28" spans="1:18" ht="15.75" thickBot="1">
      <c r="A28" s="64"/>
      <c r="B28" s="62"/>
      <c r="C28" s="64"/>
      <c r="D28" s="64"/>
      <c r="E28" s="64"/>
      <c r="P28" s="126"/>
      <c r="Q28" s="122"/>
      <c r="R28" s="124"/>
    </row>
    <row r="29" spans="1:18">
      <c r="A29" s="64"/>
      <c r="B29" s="64" t="s">
        <v>25</v>
      </c>
      <c r="C29" s="64" t="s">
        <v>48</v>
      </c>
      <c r="D29" s="64"/>
      <c r="E29" s="64"/>
    </row>
    <row r="30" spans="1:18">
      <c r="A30" s="64"/>
      <c r="B30" s="64"/>
      <c r="C30" s="64"/>
      <c r="D30" s="64"/>
      <c r="E30" s="64"/>
    </row>
    <row r="31" spans="1:18" ht="15.75" thickBot="1">
      <c r="A31" s="64"/>
      <c r="B31" s="64" t="s">
        <v>2</v>
      </c>
      <c r="C31" s="64" t="s">
        <v>48</v>
      </c>
      <c r="D31" s="64"/>
      <c r="E31" s="64"/>
    </row>
    <row r="32" spans="1:18" ht="15.75" thickBot="1">
      <c r="A32" s="64"/>
      <c r="B32" s="64"/>
      <c r="C32" s="64"/>
      <c r="D32" s="64" t="s">
        <v>87</v>
      </c>
      <c r="E32" s="128">
        <f>Q28+R28</f>
        <v>0</v>
      </c>
    </row>
    <row r="33" spans="1:7" ht="21">
      <c r="A33" s="64"/>
      <c r="B33" s="65" t="s">
        <v>49</v>
      </c>
      <c r="C33" s="65"/>
      <c r="D33" s="65"/>
      <c r="E33" s="65"/>
      <c r="G33" s="8" t="s">
        <v>105</v>
      </c>
    </row>
    <row r="34" spans="1:7" ht="18.75">
      <c r="A34" s="64"/>
      <c r="B34" s="66" t="s">
        <v>45</v>
      </c>
      <c r="C34" s="66"/>
      <c r="D34" s="66"/>
      <c r="E34" s="66"/>
    </row>
    <row r="35" spans="1:7" ht="18.75">
      <c r="A35" s="64"/>
      <c r="B35" s="66" t="s">
        <v>58</v>
      </c>
      <c r="C35" s="64"/>
      <c r="D35" s="64"/>
      <c r="E35" s="64"/>
    </row>
    <row r="36" spans="1:7">
      <c r="A36" s="64"/>
      <c r="B36" s="64" t="s">
        <v>50</v>
      </c>
      <c r="C36" s="64"/>
      <c r="D36" s="64"/>
      <c r="E36" s="64"/>
    </row>
    <row r="37" spans="1:7">
      <c r="A37" s="64"/>
      <c r="B37" s="64"/>
      <c r="C37" s="64"/>
      <c r="D37" s="64"/>
      <c r="E37" s="64"/>
    </row>
    <row r="38" spans="1:7">
      <c r="A38" s="64"/>
      <c r="B38" s="64" t="s">
        <v>51</v>
      </c>
      <c r="C38" s="64" t="s">
        <v>52</v>
      </c>
      <c r="D38" s="64"/>
      <c r="E38" s="64" t="s">
        <v>91</v>
      </c>
    </row>
    <row r="39" spans="1:7">
      <c r="A39" s="64"/>
      <c r="B39" s="64"/>
      <c r="C39" s="64"/>
      <c r="D39" s="64"/>
      <c r="E39" s="64"/>
    </row>
    <row r="40" spans="1:7">
      <c r="A40" s="64"/>
      <c r="B40" s="64" t="s">
        <v>53</v>
      </c>
      <c r="C40" s="64"/>
      <c r="D40" s="64"/>
      <c r="E40" s="64" t="s">
        <v>91</v>
      </c>
    </row>
    <row r="41" spans="1:7">
      <c r="A41" s="64"/>
      <c r="B41" s="64"/>
      <c r="C41" s="64"/>
      <c r="D41" s="64"/>
      <c r="E41" s="64"/>
    </row>
    <row r="42" spans="1:7">
      <c r="A42" s="64"/>
      <c r="B42" s="64" t="s">
        <v>54</v>
      </c>
      <c r="C42" s="64"/>
      <c r="D42" s="64"/>
      <c r="E42" s="64" t="s">
        <v>91</v>
      </c>
    </row>
    <row r="43" spans="1:7">
      <c r="A43" s="64"/>
      <c r="B43" s="64"/>
      <c r="C43" s="64"/>
      <c r="D43" s="64"/>
      <c r="E43" s="64"/>
    </row>
  </sheetData>
  <mergeCells count="8">
    <mergeCell ref="Q7:R7"/>
    <mergeCell ref="B7:E7"/>
    <mergeCell ref="K8:L8"/>
    <mergeCell ref="G7:G8"/>
    <mergeCell ref="H7:H8"/>
    <mergeCell ref="I7:I8"/>
    <mergeCell ref="J7:J8"/>
    <mergeCell ref="F7:F8"/>
  </mergeCells>
  <pageMargins left="0.70866141732283472" right="0.70866141732283472" top="0.74803149606299213" bottom="0.74803149606299213" header="0.31496062992125984" footer="0.31496062992125984"/>
  <pageSetup paperSize="9" scale="6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43"/>
  <sheetViews>
    <sheetView topLeftCell="A4" workbookViewId="0">
      <selection activeCell="M9" sqref="M9"/>
    </sheetView>
  </sheetViews>
  <sheetFormatPr defaultRowHeight="15"/>
  <cols>
    <col min="1" max="1" width="11.5703125" customWidth="1"/>
    <col min="2" max="2" width="15.140625" customWidth="1"/>
    <col min="3" max="3" width="9.42578125" customWidth="1"/>
    <col min="4" max="4" width="15.140625" customWidth="1"/>
    <col min="5" max="6" width="15.85546875" customWidth="1"/>
    <col min="7" max="7" width="17" customWidth="1"/>
    <col min="8" max="9" width="18.85546875" customWidth="1"/>
    <col min="10" max="10" width="14.85546875" style="69" customWidth="1"/>
    <col min="11" max="11" width="16.7109375" style="69" customWidth="1"/>
    <col min="12" max="13" width="13.42578125" style="69" customWidth="1"/>
    <col min="14" max="14" width="15.28515625" hidden="1" customWidth="1"/>
    <col min="15" max="15" width="15.85546875" hidden="1" customWidth="1"/>
    <col min="16" max="16" width="13.42578125" hidden="1" customWidth="1"/>
    <col min="17" max="18" width="15.85546875" hidden="1" customWidth="1"/>
    <col min="19" max="20" width="0" hidden="1" customWidth="1"/>
    <col min="21" max="21" width="9.5703125" hidden="1" customWidth="1"/>
    <col min="22" max="26" width="0" hidden="1" customWidth="1"/>
    <col min="27" max="27" width="8.85546875" hidden="1" customWidth="1"/>
    <col min="28" max="28" width="22" hidden="1" customWidth="1"/>
    <col min="29" max="29" width="23.140625" hidden="1" customWidth="1"/>
    <col min="30" max="30" width="21.42578125" hidden="1" customWidth="1"/>
    <col min="32" max="32" width="17.28515625" customWidth="1"/>
    <col min="33" max="33" width="14.140625" customWidth="1"/>
    <col min="34" max="34" width="13.140625" customWidth="1"/>
    <col min="35" max="35" width="14.5703125" customWidth="1"/>
    <col min="36" max="36" width="14.85546875" customWidth="1"/>
    <col min="37" max="38" width="15" customWidth="1"/>
    <col min="39" max="39" width="17.42578125" customWidth="1"/>
    <col min="40" max="40" width="15.28515625" customWidth="1"/>
    <col min="41" max="41" width="17.140625" customWidth="1"/>
  </cols>
  <sheetData>
    <row r="1" spans="1:41">
      <c r="A1" t="s">
        <v>43</v>
      </c>
    </row>
    <row r="3" spans="1:41" ht="21">
      <c r="A3" s="58" t="s">
        <v>46</v>
      </c>
      <c r="H3" s="58"/>
      <c r="I3" s="58"/>
    </row>
    <row r="5" spans="1:41" ht="18.75">
      <c r="A5" s="63"/>
      <c r="G5" s="63">
        <f>'Исх данные'!B9</f>
        <v>0</v>
      </c>
      <c r="H5" s="63">
        <f>'Исх данные'!H6</f>
        <v>0</v>
      </c>
      <c r="I5" s="63"/>
    </row>
    <row r="7" spans="1:41" s="56" customFormat="1" ht="18.75" customHeight="1">
      <c r="A7" s="67"/>
      <c r="B7" s="255" t="s">
        <v>115</v>
      </c>
      <c r="C7" s="256"/>
      <c r="D7" s="256"/>
      <c r="E7" s="256"/>
      <c r="F7" s="256"/>
      <c r="G7" s="257"/>
      <c r="H7" s="255" t="s">
        <v>118</v>
      </c>
      <c r="I7" s="257"/>
      <c r="J7" s="258" t="s">
        <v>119</v>
      </c>
      <c r="K7" s="259"/>
      <c r="L7" s="260"/>
      <c r="M7" s="115" t="s">
        <v>123</v>
      </c>
      <c r="P7" s="95"/>
      <c r="Q7" s="95">
        <v>2.8000000000000001E-2</v>
      </c>
      <c r="R7" s="95">
        <v>2.8000000000000001E-2</v>
      </c>
      <c r="AG7" s="261"/>
      <c r="AH7" s="262"/>
      <c r="AI7" s="262"/>
      <c r="AJ7" s="262"/>
      <c r="AK7" s="262"/>
      <c r="AL7" s="262"/>
      <c r="AM7" s="262"/>
      <c r="AN7" s="262"/>
      <c r="AO7" s="263"/>
    </row>
    <row r="8" spans="1:41" s="56" customFormat="1" ht="48.75" customHeight="1">
      <c r="A8" s="67"/>
      <c r="B8" s="117" t="s">
        <v>128</v>
      </c>
      <c r="C8" s="114" t="s">
        <v>125</v>
      </c>
      <c r="D8" s="117" t="s">
        <v>116</v>
      </c>
      <c r="E8" s="114" t="s">
        <v>125</v>
      </c>
      <c r="F8" s="117" t="s">
        <v>117</v>
      </c>
      <c r="G8" s="114" t="s">
        <v>125</v>
      </c>
      <c r="H8" s="113" t="s">
        <v>120</v>
      </c>
      <c r="I8" s="114" t="s">
        <v>127</v>
      </c>
      <c r="J8" s="113" t="s">
        <v>121</v>
      </c>
      <c r="K8" s="114" t="s">
        <v>126</v>
      </c>
      <c r="L8" s="113" t="s">
        <v>122</v>
      </c>
      <c r="M8" s="113" t="s">
        <v>124</v>
      </c>
      <c r="N8" s="95" t="s">
        <v>85</v>
      </c>
      <c r="O8" s="95" t="s">
        <v>85</v>
      </c>
      <c r="P8" s="95" t="s">
        <v>86</v>
      </c>
      <c r="Q8" s="95" t="s">
        <v>84</v>
      </c>
      <c r="R8" s="95" t="s">
        <v>84</v>
      </c>
      <c r="S8" s="56" t="s">
        <v>64</v>
      </c>
      <c r="T8" s="56" t="s">
        <v>65</v>
      </c>
      <c r="U8" s="56" t="s">
        <v>66</v>
      </c>
      <c r="X8" s="56" t="s">
        <v>67</v>
      </c>
      <c r="Y8" s="56" t="s">
        <v>80</v>
      </c>
      <c r="Z8" s="56" t="s">
        <v>81</v>
      </c>
      <c r="AA8" s="56" t="s">
        <v>82</v>
      </c>
      <c r="AB8" s="56" t="s">
        <v>61</v>
      </c>
      <c r="AC8" s="56" t="s">
        <v>62</v>
      </c>
      <c r="AD8" s="56" t="s">
        <v>63</v>
      </c>
      <c r="AG8" s="117"/>
      <c r="AH8" s="117"/>
      <c r="AI8" s="117"/>
      <c r="AJ8" s="117"/>
      <c r="AK8" s="117"/>
      <c r="AL8" s="117"/>
      <c r="AM8" s="117"/>
      <c r="AN8" s="117"/>
      <c r="AO8" s="117"/>
    </row>
    <row r="9" spans="1:41">
      <c r="A9" s="61">
        <f>'Исх данные'!A9</f>
        <v>0</v>
      </c>
      <c r="B9" s="116">
        <f>'Исх данные'!H9-0.6</f>
        <v>-0.6</v>
      </c>
      <c r="C9" s="116">
        <f>2*'Исх данные'!Q9</f>
        <v>0</v>
      </c>
      <c r="D9" s="116">
        <f>IF('Исх данные'!G9&lt;250,0,IF('Исх данные'!G9&gt;=250,0.33*'Исх данные'!G9-43.6,))</f>
        <v>0</v>
      </c>
      <c r="E9" s="116">
        <f>IF('Исх данные'!G9&lt;250,0,'Исх данные'!Q9*2)</f>
        <v>0</v>
      </c>
      <c r="F9" s="116">
        <f>0.67*'Исх данные'!G9-43.6</f>
        <v>-43.6</v>
      </c>
      <c r="G9" s="116">
        <f>'Исх данные'!Q9*2</f>
        <v>0</v>
      </c>
      <c r="H9" s="116">
        <f>'Исх данные'!Q9</f>
        <v>0</v>
      </c>
      <c r="I9" s="116">
        <f>'Исх данные'!Q9</f>
        <v>0</v>
      </c>
      <c r="J9" s="116">
        <f>IF('Исх данные'!H9&lt;=600,0,(IF('Исх данные'!H9&gt;600,1*'Исх данные'!Q9)))</f>
        <v>0</v>
      </c>
      <c r="K9" s="116">
        <f>'Исх данные'!Q9</f>
        <v>0</v>
      </c>
      <c r="L9" s="116">
        <f>IF('Исх данные'!H9&lt;=250,0,(IF('Исх данные'!H9&lt;=650,1*'Исх данные'!Q9,(IF('Исх данные'!H9&gt;650,2*'Исх данные'!Q9,)))))</f>
        <v>0</v>
      </c>
      <c r="M9" s="116">
        <f>IF('Исх данные'!G9&gt;=800,'Исх данные'!Q9*4,IF('Исх данные'!H9&gt;=800,'Исх данные'!Q9*4,0))</f>
        <v>0</v>
      </c>
      <c r="N9" s="69">
        <f t="shared" ref="N9:N27" si="0">IF(B9&gt;0,IF(B9=100,E9*0,IF(B9=150,E9*0,IF(B9=200,E9*2.16,IF(B9=250,E9*0,IF(B9=300,E9*2.17,IF(B9=350,E9*0,IF(B9=400,E9*2.25,IF(B9=450,E9*2.27,IF(B9=500,E9*2.05,IF(B9=550,E9*0,IF(B9=600,E9*2.05,IF(B9=650,E9*2.35,IF(B9=700,E9*2.33,IF(B9=750,E9*2.1,IF(B9=800,E9*2.11,IF(B9=850,E9*0,IF(B9=900,E9*2.11,IF(B9=950,E9*0,IF(B9=1000,E9*2.26,IF(B9=1050,E9*0,IF(B9=1150,E9*0,IF(B9=1200,E9*2.71,IF(B9=1250,E9*0,IF(B9=1300,E9*0,IF(B9=1350,E9*0,IF(B9=1400,E9*0,IF(B9=1500,E9*0,IF(B9=1600,E9*0,IF(B9=1800,E9*0,IF(B9=2000,E9*0,0)))))))))))))))))))))))))))))),0)/2</f>
        <v>0</v>
      </c>
      <c r="O9" s="69">
        <f>IF(G9&gt;0,IF(G9=100,H9*0,IF(G9=150,H9*0,IF(G9=200,H9*2.16,IF(G9=250,H9*0,IF(G9=300,H9*2.17,IF(G9=350,H9*0,IF(G9=400,H9*2.25,IF(G9=450,H9*2.27,IF(G9=500,H9*2.05,IF(G9=550,H9*0,IF(G9=600,H9*2.05,IF(G9=650,H9*2.35,IF(G9=700,H9*2.33,IF(G9=750,H9*2.1,IF(G9=800,H9*2.11,IF(G9=850,H9*0,IF(G9=900,H9*2.11,IF(G9=950,H9*0,IF(G9=1000,H9*2.26,IF(G9=1050,H9*0,IF(G9=1150,H9*0,IF(G9=1200,H9*2.71,IF(G9=1250,H9*0,IF(G9=1300,H9*0,IF(G9=1350,H9*0,IF(G9=1400,H9*0,IF(G9=1500,H9*0,IF(G9=1600,H9*0,IF(G9=1800,H9*0,IF(G9=2000,H9*0,0)))))))))))))))))))))))))))))),0)/2</f>
        <v>0</v>
      </c>
      <c r="P9" s="69"/>
      <c r="Q9" s="69">
        <f t="shared" ref="Q9:Q27" si="1">IF(B9&gt;0,E9*$Q$7,0)</f>
        <v>0</v>
      </c>
      <c r="R9" s="69">
        <f>IF(G9&gt;0,H9*$R$7,0)</f>
        <v>0</v>
      </c>
      <c r="S9" s="69">
        <f>IF('Исх данные'!X9=1,'Исх данные'!G9,0)</f>
        <v>0</v>
      </c>
      <c r="T9" s="69">
        <f>IF('Исх данные'!C9=2,'Исх данные'!G9,IF('Исх данные'!C9=3,'Исх данные'!G9,0))</f>
        <v>0</v>
      </c>
      <c r="U9" s="69">
        <f>IF('Исх данные'!C9=3,'Исх данные'!G9,0)</f>
        <v>0</v>
      </c>
      <c r="V9" s="69">
        <f>IF('Исх данные'!X9=1,'Исх данные'!G9,IF('Исх данные'!C9=2,'Исх данные'!G9,IF('Исх данные'!C9=3,'Исх данные'!G9,IF('Исх данные'!C9=3,'Исх данные'!G9,0))))</f>
        <v>0</v>
      </c>
      <c r="X9" t="str">
        <f>IF('Исх данные'!C9=2,IF(AND('Исх данные'!S9=0, 'Исх данные'!T9=0),"07.239.05.00.000",IF(OR('Исх данные'!S9=1, 'Исх данные'!T9=1),IF(('Исх данные'!G9/Ножницы!E9)*0.5&gt;=150,"07.239.06.00.000",IF(('Исх данные'!G9/Ножницы!E9)*0.5&lt;150,"07.087.04.00.000",0)),"/")),"КПУ2")</f>
        <v>КПУ2</v>
      </c>
      <c r="Y9" s="69" t="str">
        <f>IF(B9&gt;0,IF(AND('Исх данные'!C9=1,'Исх данные'!V9=1),'Исх данные'!Q9*2,IF(AND('Исх данные'!C9=1,'Исх данные'!V9=2),'Исх данные'!Q9*2*2,0)),"---")</f>
        <v>---</v>
      </c>
      <c r="Z9" s="69" t="str">
        <f>IF(B9&gt;0,IF(AND('Исх данные'!C9=2,'Исх данные'!V9=0),'Исх данные'!Q9*2,IF(AND('Исх данные'!C9=2,'Исх данные'!V9=2),'Исх данные'!Q9*2*2,0)),"---")</f>
        <v>---</v>
      </c>
      <c r="AA9" s="69" t="str">
        <f>IF(B9&gt;0,IF('Исх данные'!C9=3,'Исх данные'!Q9*2*2,0),"---")</f>
        <v>---</v>
      </c>
      <c r="AB9" s="69" t="str">
        <f>IF('Исх данные'!C9=1,IF(OR('Исх данные'!S9=1,'Исх данные'!T9=1,'Исх данные'!V9),IF(('Исх данные'!G9/Ножницы!E9)*0.5&gt;=150,"07.239.06.00.000",IF(('Исх данные'!G9/Ножницы!E9)*0.5&lt;150,"07.087.04.00.000","/")),0),"КПУ1")</f>
        <v>КПУ1</v>
      </c>
      <c r="AC9" t="str">
        <f>IF('Исх данные'!C9=2,IF(AND('Исх данные'!S9=0, 'Исх данные'!T9=0,'Исх данные'!V9=0),"07.239.05.00.000",IF(OR('Исх данные'!S9=1, 'Исх данные'!T9=1,'Исх данные'!V9=1,'Исх данные'!V9=2),IF(('Исх данные'!G9/Ножницы!E9)*0.5&gt;=150,"07.239.06.00.022",IF(('Исх данные'!G9/Ножницы!E9)*0.5&lt;150,"07.087.04.00.000",0)),"/")),"КПУ2")</f>
        <v>КПУ2</v>
      </c>
      <c r="AD9" t="str">
        <f>IF('Исх данные'!C9=3,"07.239.07.00.000","КПУ3")</f>
        <v>КПУ3</v>
      </c>
      <c r="AG9" s="61"/>
      <c r="AH9" s="61"/>
      <c r="AI9" s="61"/>
      <c r="AJ9" s="61"/>
      <c r="AK9" s="61"/>
      <c r="AL9" s="61"/>
      <c r="AM9" s="61"/>
      <c r="AN9" s="61"/>
      <c r="AO9" s="61"/>
    </row>
    <row r="10" spans="1:41">
      <c r="A10" s="61">
        <f>'Исх данные'!A10</f>
        <v>0</v>
      </c>
      <c r="B10" s="116">
        <f>'Исх данные'!H10-0.6</f>
        <v>-0.6</v>
      </c>
      <c r="C10" s="116">
        <f>2*'Исх данные'!Q10</f>
        <v>0</v>
      </c>
      <c r="D10" s="116">
        <f>IF('Исх данные'!G10&lt;250,0,IF('Исх данные'!G10&gt;=250,0.33*'Исх данные'!G10-43.6,))</f>
        <v>0</v>
      </c>
      <c r="E10" s="116">
        <f>IF('Исх данные'!G10&lt;250,0,'Исх данные'!Q10*2)</f>
        <v>0</v>
      </c>
      <c r="F10" s="116">
        <f>0.67*'Исх данные'!G10-43.6</f>
        <v>-43.6</v>
      </c>
      <c r="G10" s="116">
        <f>'Исх данные'!Q10*2</f>
        <v>0</v>
      </c>
      <c r="H10" s="116">
        <f>'Исх данные'!Q10</f>
        <v>0</v>
      </c>
      <c r="I10" s="116">
        <f>'Исх данные'!Q10</f>
        <v>0</v>
      </c>
      <c r="J10" s="116">
        <f>IF('Исх данные'!H10&lt;=600,0,(IF('Исх данные'!H10&gt;600,1*'Исх данные'!Q10)))</f>
        <v>0</v>
      </c>
      <c r="K10" s="116">
        <f>'Исх данные'!Q10</f>
        <v>0</v>
      </c>
      <c r="L10" s="116">
        <f>IF('Исх данные'!H10&lt;=250,0,(IF('Исх данные'!H10&lt;=650,1*'Исх данные'!Q10,(IF('Исх данные'!H10&gt;650,2*'Исх данные'!Q10,)))))</f>
        <v>0</v>
      </c>
      <c r="M10" s="116">
        <f>IF('Исх данные'!G10&gt;=800,'Исх данные'!Q10*4,IF('Исх данные'!H10&gt;=800,'Исх данные'!Q10*4,0))</f>
        <v>0</v>
      </c>
      <c r="N10" s="69">
        <f t="shared" si="0"/>
        <v>0</v>
      </c>
      <c r="O10" s="69">
        <f t="shared" ref="O10:O27" si="2">IF(G10&gt;0,IF(G10=100,H10*0,IF(G10=150,H10*0,IF(G10=200,H10*2.16,IF(G10=250,H10*0,IF(G10=300,H10*2.17,IF(G10=350,H10*0,IF(G10=400,H10*2.25,IF(G10=450,H10*2.27,IF(G10=500,H10*2.05,IF(G10=550,H10*0,IF(G10=600,H10*2.05,IF(G10=650,H10*2.35,IF(G10=700,H10*2.33,IF(G10=750,H10*2.1,IF(G10=800,H10*2.11,IF(G10=850,H10*0,IF(G10=900,H10*2.11,IF(G10=950,H10*0,IF(G10=1000,H10*2.26,IF(G10=1050,H10*0,IF(G10=1150,H10*0,IF(G10=1200,H10*2.71,IF(G10=1250,H10*0,IF(G10=1300,H10*0,IF(G10=1350,H10*0,IF(G10=1400,H10*0,IF(G10=1500,H10*0,IF(G10=1600,H10*0,IF(G10=1800,H10*0,IF(G10=2000,H10*0,0)))))))))))))))))))))))))))))),0)/2</f>
        <v>0</v>
      </c>
      <c r="P10" s="69"/>
      <c r="Q10" s="69">
        <f t="shared" si="1"/>
        <v>0</v>
      </c>
      <c r="R10" s="69">
        <f t="shared" ref="R10:R27" si="3">IF(G10&gt;0,H10*$R$7,0)</f>
        <v>0</v>
      </c>
      <c r="S10" s="69">
        <f>IF('Исх данные'!X10=1,'Исх данные'!G10,0)</f>
        <v>0</v>
      </c>
      <c r="T10" s="69">
        <f>IF('Исх данные'!C10=2,'Исх данные'!G10,IF('Исх данные'!C10=3,'Исх данные'!G10,0))</f>
        <v>0</v>
      </c>
      <c r="U10" s="69">
        <f>IF('Исх данные'!C10=3,'Исх данные'!G10,0)</f>
        <v>0</v>
      </c>
      <c r="V10" s="69">
        <f>IF('Исх данные'!X10=1,'Исх данные'!G10,IF('Исх данные'!C10=2,'Исх данные'!G10,IF('Исх данные'!C10=3,'Исх данные'!G10,IF('Исх данные'!C10=3,'Исх данные'!G10,0))))</f>
        <v>0</v>
      </c>
      <c r="Y10" s="69" t="str">
        <f>IF(B10&gt;0,IF(AND('Исх данные'!C10=1,'Исх данные'!V10=1),'Исх данные'!Q10*2,IF(AND('Исх данные'!C10=1,'Исх данные'!V10=2),'Исх данные'!Q10*2*2,0)),"---")</f>
        <v>---</v>
      </c>
      <c r="Z10" s="69" t="str">
        <f>IF(B10&gt;0,IF(AND('Исх данные'!C10=2,'Исх данные'!V10=0),'Исх данные'!Q10*2,IF(AND('Исх данные'!C10=2,'Исх данные'!V10=2),'Исх данные'!Q10*2*2,0)),"---")</f>
        <v>---</v>
      </c>
      <c r="AA10" s="69" t="str">
        <f>IF(B10&gt;0,IF('Исх данные'!C10=3,'Исх данные'!Q10*2*2,0),"---")</f>
        <v>---</v>
      </c>
      <c r="AB10" s="69" t="str">
        <f>IF('Исх данные'!C10=1,IF(OR('Исх данные'!S10=1,'Исх данные'!T10=1,'Исх данные'!V10),IF(('Исх данные'!G10/Ножницы!E10)*0.5&gt;=150,"07.239.06.00.000",IF(('Исх данные'!G10/Ножницы!E10)*0.5&lt;150,"07.087.04.00.000","/")),0),"КПУ1")</f>
        <v>КПУ1</v>
      </c>
      <c r="AC10" t="str">
        <f>IF('Исх данные'!C10=2,IF(AND('Исх данные'!S10=0, 'Исх данные'!T10=0,'Исх данные'!V10=0),"07.239.05.00.000",IF(OR('Исх данные'!S10=1, 'Исх данные'!T10=1,'Исх данные'!V10=1,'Исх данные'!V10=2),IF(('Исх данные'!G10/Ножницы!E10)*0.5&gt;=150,"07.239.06.00.022",IF(('Исх данные'!G10/Ножницы!E10)*0.5&lt;150,"07.087.04.00.000",0)),"/")),"КПУ2")</f>
        <v>КПУ2</v>
      </c>
      <c r="AD10" t="str">
        <f>IF('Исх данные'!C10=3,"07.239.07.00.000","КПУ3")</f>
        <v>КПУ3</v>
      </c>
      <c r="AG10" s="61"/>
      <c r="AH10" s="61"/>
      <c r="AI10" s="61"/>
      <c r="AJ10" s="61"/>
      <c r="AK10" s="61"/>
      <c r="AL10" s="61"/>
      <c r="AM10" s="61"/>
      <c r="AN10" s="61"/>
      <c r="AO10" s="61"/>
    </row>
    <row r="11" spans="1:41">
      <c r="A11" s="61">
        <f>'Исх данные'!A11</f>
        <v>0</v>
      </c>
      <c r="B11" s="116">
        <f>'Исх данные'!H11-0.6</f>
        <v>-0.6</v>
      </c>
      <c r="C11" s="116">
        <f>2*'Исх данные'!Q11</f>
        <v>0</v>
      </c>
      <c r="D11" s="116">
        <f>IF('Исх данные'!G11&lt;250,0,IF('Исх данные'!G11&gt;=250,0.33*'Исх данные'!G11-43.6,))</f>
        <v>0</v>
      </c>
      <c r="E11" s="116">
        <f>IF('Исх данные'!G11&lt;250,0,'Исх данные'!Q11*2)</f>
        <v>0</v>
      </c>
      <c r="F11" s="116">
        <f>0.67*'Исх данные'!G11-43.6</f>
        <v>-43.6</v>
      </c>
      <c r="G11" s="116">
        <f>'Исх данные'!Q11*2</f>
        <v>0</v>
      </c>
      <c r="H11" s="116">
        <f>'Исх данные'!Q11</f>
        <v>0</v>
      </c>
      <c r="I11" s="116">
        <f>'Исх данные'!Q11</f>
        <v>0</v>
      </c>
      <c r="J11" s="116">
        <f>IF('Исх данные'!H11&lt;=600,0,(IF('Исх данные'!H11&gt;600,1*'Исх данные'!Q11)))</f>
        <v>0</v>
      </c>
      <c r="K11" s="116">
        <f>'Исх данные'!Q11</f>
        <v>0</v>
      </c>
      <c r="L11" s="116">
        <f>IF('Исх данные'!H11&lt;=250,0,(IF('Исх данные'!H11&lt;=650,1*'Исх данные'!Q11,(IF('Исх данные'!H11&gt;650,2*'Исх данные'!Q11,)))))</f>
        <v>0</v>
      </c>
      <c r="M11" s="116">
        <f>IF('Исх данные'!G11&gt;=800,'Исх данные'!Q11*4,IF('Исх данные'!H11&gt;=800,'Исх данные'!Q11*4,0))</f>
        <v>0</v>
      </c>
      <c r="N11" s="69">
        <f t="shared" si="0"/>
        <v>0</v>
      </c>
      <c r="O11" s="69">
        <f t="shared" si="2"/>
        <v>0</v>
      </c>
      <c r="P11" s="69"/>
      <c r="Q11" s="69">
        <f t="shared" si="1"/>
        <v>0</v>
      </c>
      <c r="R11" s="69">
        <f t="shared" si="3"/>
        <v>0</v>
      </c>
      <c r="S11" s="69">
        <f>IF('Исх данные'!X11=1,'Исх данные'!G11,0)</f>
        <v>0</v>
      </c>
      <c r="T11" s="69">
        <f>IF('Исх данные'!C11=2,'Исх данные'!G11,IF('Исх данные'!C11=3,'Исх данные'!G11,0))</f>
        <v>0</v>
      </c>
      <c r="U11" s="69">
        <f>IF('Исх данные'!C11=3,'Исх данные'!G11,0)</f>
        <v>0</v>
      </c>
      <c r="V11" s="69">
        <f>IF('Исх данные'!X11=1,'Исх данные'!G11,IF('Исх данные'!C11=2,'Исх данные'!G11,IF('Исх данные'!C11=3,'Исх данные'!G11,IF('Исх данные'!C11=3,'Исх данные'!G11,0))))</f>
        <v>0</v>
      </c>
      <c r="Y11" s="69" t="str">
        <f>IF(B11&gt;0,IF(AND('Исх данные'!C11=1,'Исх данные'!V11=1),'Исх данные'!Q11*2,IF(AND('Исх данные'!C11=1,'Исх данные'!V11=2),'Исх данные'!Q11*2*2,0)),"---")</f>
        <v>---</v>
      </c>
      <c r="Z11" s="69" t="str">
        <f>IF(B11&gt;0,IF(AND('Исх данные'!C11=2,'Исх данные'!V11=0),'Исх данные'!Q11*2,IF(AND('Исх данные'!C11=2,'Исх данные'!V11=2),'Исх данные'!Q11*2*2,0)),"---")</f>
        <v>---</v>
      </c>
      <c r="AA11" s="69" t="str">
        <f>IF(B11&gt;0,IF('Исх данные'!C11=3,'Исх данные'!Q11*2*2,0),"---")</f>
        <v>---</v>
      </c>
      <c r="AB11" s="69" t="str">
        <f>IF('Исх данные'!C11=1,IF(OR('Исх данные'!S11=1,'Исх данные'!T11=1,'Исх данные'!V11),IF(('Исх данные'!G11/Ножницы!E11)*0.5&gt;=150,"07.239.06.00.000",IF(('Исх данные'!G11/Ножницы!E11)*0.5&lt;150,"07.087.04.00.000","/")),0),"КПУ1")</f>
        <v>КПУ1</v>
      </c>
      <c r="AC11" t="str">
        <f>IF('Исх данные'!C11=2,IF(AND('Исх данные'!S11=0, 'Исх данные'!T11=0,'Исх данные'!V11=0),"07.239.05.00.000",IF(OR('Исх данные'!S11=1, 'Исх данные'!T11=1,'Исх данные'!V11=1,'Исх данные'!V11=2),IF(('Исх данные'!G11/Ножницы!E11)*0.5&gt;=150,"07.239.06.00.022",IF(('Исх данные'!G11/Ножницы!E11)*0.5&lt;150,"07.087.04.00.000",0)),"/")),"КПУ2")</f>
        <v>КПУ2</v>
      </c>
      <c r="AD11" t="str">
        <f>IF('Исх данные'!C11=3,"07.239.07.00.000","КПУ3")</f>
        <v>КПУ3</v>
      </c>
      <c r="AG11" s="61"/>
      <c r="AH11" s="61"/>
      <c r="AI11" s="61"/>
      <c r="AJ11" s="61"/>
      <c r="AK11" s="61"/>
      <c r="AL11" s="61"/>
      <c r="AM11" s="61"/>
      <c r="AN11" s="61"/>
      <c r="AO11" s="61"/>
    </row>
    <row r="12" spans="1:41">
      <c r="A12" s="61">
        <f>'Исх данные'!A12</f>
        <v>0</v>
      </c>
      <c r="B12" s="116">
        <f>'Исх данные'!H12-0.6</f>
        <v>-0.6</v>
      </c>
      <c r="C12" s="116">
        <f>2*'Исх данные'!Q12</f>
        <v>0</v>
      </c>
      <c r="D12" s="116">
        <f>IF('Исх данные'!G12&lt;250,0,IF('Исх данные'!G12&gt;=250,0.33*'Исх данные'!G12-43.6,))</f>
        <v>0</v>
      </c>
      <c r="E12" s="116">
        <f>IF('Исх данные'!G12&lt;250,0,'Исх данные'!Q12*2)</f>
        <v>0</v>
      </c>
      <c r="F12" s="116">
        <f>0.67*'Исх данные'!G12-43.6</f>
        <v>-43.6</v>
      </c>
      <c r="G12" s="116">
        <f>'Исх данные'!Q12*2</f>
        <v>0</v>
      </c>
      <c r="H12" s="116">
        <f>'Исх данные'!Q12</f>
        <v>0</v>
      </c>
      <c r="I12" s="116">
        <f>'Исх данные'!Q12</f>
        <v>0</v>
      </c>
      <c r="J12" s="116">
        <f>IF('Исх данные'!H12&lt;=600,0,(IF('Исх данные'!H12&gt;600,1*'Исх данные'!Q12)))</f>
        <v>0</v>
      </c>
      <c r="K12" s="116">
        <f>'Исх данные'!Q12</f>
        <v>0</v>
      </c>
      <c r="L12" s="116">
        <f>IF('Исх данные'!H12&lt;=250,0,(IF('Исх данные'!H12&lt;=650,1*'Исх данные'!Q12,(IF('Исх данные'!H12&gt;650,2*'Исх данные'!Q12,)))))</f>
        <v>0</v>
      </c>
      <c r="M12" s="116">
        <f>IF('Исх данные'!G12&gt;=800,'Исх данные'!Q12*4,IF('Исх данные'!H12&gt;=800,'Исх данные'!Q12*4,0))</f>
        <v>0</v>
      </c>
      <c r="N12" s="69">
        <f t="shared" si="0"/>
        <v>0</v>
      </c>
      <c r="O12" s="69">
        <f t="shared" si="2"/>
        <v>0</v>
      </c>
      <c r="P12" s="69"/>
      <c r="Q12" s="69">
        <f t="shared" si="1"/>
        <v>0</v>
      </c>
      <c r="R12" s="69">
        <f t="shared" si="3"/>
        <v>0</v>
      </c>
      <c r="S12" s="69">
        <f>IF('Исх данные'!X12=1,'Исх данные'!G12,0)</f>
        <v>0</v>
      </c>
      <c r="T12" s="69">
        <f>IF('Исх данные'!C12=2,'Исх данные'!G12,IF('Исх данные'!C12=3,'Исх данные'!G12,0))</f>
        <v>0</v>
      </c>
      <c r="U12" s="69">
        <f>IF('Исх данные'!C12=3,'Исх данные'!G12,0)</f>
        <v>0</v>
      </c>
      <c r="V12" s="69">
        <f>IF('Исх данные'!X12=1,'Исх данные'!G12,IF('Исх данные'!C12=2,'Исх данные'!G12,IF('Исх данные'!C12=3,'Исх данные'!G12,IF('Исх данные'!C12=3,'Исх данные'!G12,0))))</f>
        <v>0</v>
      </c>
      <c r="Y12" s="69" t="str">
        <f>IF(B12&gt;0,IF(AND('Исх данные'!C12=1,'Исх данные'!V12=1),'Исх данные'!Q12*2,IF(AND('Исх данные'!C12=1,'Исх данные'!V12=2),'Исх данные'!Q12*2*2,0)),"---")</f>
        <v>---</v>
      </c>
      <c r="Z12" s="69" t="str">
        <f>IF(B12&gt;0,IF(AND('Исх данные'!C12=2,'Исх данные'!V12=0),'Исх данные'!Q12*2,IF(AND('Исх данные'!C12=2,'Исх данные'!V12=2),'Исх данные'!Q12*2*2,0)),"---")</f>
        <v>---</v>
      </c>
      <c r="AA12" s="69" t="str">
        <f>IF(B12&gt;0,IF('Исх данные'!C12=3,'Исх данные'!Q12*2*2,0),"---")</f>
        <v>---</v>
      </c>
      <c r="AB12" s="69" t="str">
        <f>IF('Исх данные'!C12=1,IF(OR('Исх данные'!S12=1,'Исх данные'!T12=1,'Исх данные'!V12),IF(('Исх данные'!G12/Ножницы!E12)*0.5&gt;=150,"07.239.06.00.000",IF(('Исх данные'!G12/Ножницы!E12)*0.5&lt;150,"07.087.04.00.000","/")),0),"КПУ1")</f>
        <v>КПУ1</v>
      </c>
      <c r="AC12" t="str">
        <f>IF('Исх данные'!C12=2,IF(AND('Исх данные'!S12=0, 'Исх данные'!T12=0,'Исх данные'!V12=0),"07.239.05.00.000",IF(OR('Исх данные'!S12=1, 'Исх данные'!T12=1,'Исх данные'!V12=1,'Исх данные'!V12=2),IF(('Исх данные'!G12/Ножницы!E12)*0.5&gt;=150,"07.239.06.00.022",IF(('Исх данные'!G12/Ножницы!E12)*0.5&lt;150,"07.087.04.00.000",0)),"/")),"КПУ2")</f>
        <v>КПУ2</v>
      </c>
      <c r="AD12" t="str">
        <f>IF('Исх данные'!C12=3,"07.239.07.00.000","КПУ3")</f>
        <v>КПУ3</v>
      </c>
      <c r="AG12" s="61"/>
      <c r="AH12" s="61"/>
      <c r="AI12" s="61"/>
      <c r="AJ12" s="61"/>
      <c r="AK12" s="61"/>
      <c r="AL12" s="61"/>
      <c r="AM12" s="61"/>
      <c r="AN12" s="61"/>
      <c r="AO12" s="61"/>
    </row>
    <row r="13" spans="1:41">
      <c r="A13" s="61">
        <f>'Исх данные'!A13</f>
        <v>0</v>
      </c>
      <c r="B13" s="116">
        <f>'Исх данные'!H13-0.6</f>
        <v>-0.6</v>
      </c>
      <c r="C13" s="116">
        <f>2*'Исх данные'!Q13</f>
        <v>0</v>
      </c>
      <c r="D13" s="116">
        <f>IF('Исх данные'!G13&lt;250,0,IF('Исх данные'!G13&gt;=250,0.33*'Исх данные'!G13-43.6,))</f>
        <v>0</v>
      </c>
      <c r="E13" s="116">
        <f>IF('Исх данные'!G13&lt;250,0,'Исх данные'!Q13*2)</f>
        <v>0</v>
      </c>
      <c r="F13" s="116">
        <f>0.67*'Исх данные'!G13-43.6</f>
        <v>-43.6</v>
      </c>
      <c r="G13" s="116">
        <f>'Исх данные'!Q13*2</f>
        <v>0</v>
      </c>
      <c r="H13" s="116">
        <f>'Исх данные'!Q13</f>
        <v>0</v>
      </c>
      <c r="I13" s="116">
        <f>'Исх данные'!Q13</f>
        <v>0</v>
      </c>
      <c r="J13" s="116">
        <f>IF('Исх данные'!H13&lt;=600,0,(IF('Исх данные'!H13&gt;600,1*'Исх данные'!Q13)))</f>
        <v>0</v>
      </c>
      <c r="K13" s="116">
        <f>'Исх данные'!Q13</f>
        <v>0</v>
      </c>
      <c r="L13" s="116">
        <f>IF('Исх данные'!H13&lt;=250,0,(IF('Исх данные'!H13&lt;=650,1*'Исх данные'!Q13,(IF('Исх данные'!H13&gt;650,2*'Исх данные'!Q13,)))))</f>
        <v>0</v>
      </c>
      <c r="M13" s="116">
        <f>IF('Исх данные'!G13&gt;=800,'Исх данные'!Q13*4,IF('Исх данные'!H13&gt;=800,'Исх данные'!Q13*4,0))</f>
        <v>0</v>
      </c>
      <c r="N13" s="69">
        <f t="shared" si="0"/>
        <v>0</v>
      </c>
      <c r="O13" s="69">
        <f t="shared" si="2"/>
        <v>0</v>
      </c>
      <c r="P13" s="69"/>
      <c r="Q13" s="69">
        <f t="shared" si="1"/>
        <v>0</v>
      </c>
      <c r="R13" s="69">
        <f t="shared" si="3"/>
        <v>0</v>
      </c>
      <c r="S13" s="69">
        <f>IF('Исх данные'!X13=1,'Исх данные'!G13,0)</f>
        <v>0</v>
      </c>
      <c r="T13" s="69">
        <f>IF('Исх данные'!C13=2,'Исх данные'!G13,IF('Исх данные'!C13=3,'Исх данные'!G13,0))</f>
        <v>0</v>
      </c>
      <c r="U13" s="69">
        <f>IF('Исх данные'!C13=3,'Исх данные'!G13,0)</f>
        <v>0</v>
      </c>
      <c r="V13" s="69">
        <f>IF('Исх данные'!X13=1,'Исх данные'!G13,IF('Исх данные'!C13=2,'Исх данные'!G13,IF('Исх данные'!C13=3,'Исх данные'!G13,IF('Исх данные'!C13=3,'Исх данные'!G13,0))))</f>
        <v>0</v>
      </c>
      <c r="Y13" s="69" t="str">
        <f>IF(B13&gt;0,IF(AND('Исх данные'!C13=1,'Исх данные'!V13=1),'Исх данные'!Q13*2,IF(AND('Исх данные'!C13=1,'Исх данные'!V13=2),'Исх данные'!Q13*2*2,0)),"---")</f>
        <v>---</v>
      </c>
      <c r="Z13" s="69" t="str">
        <f>IF(B13&gt;0,IF(AND('Исх данные'!C13=2,'Исх данные'!V13=0),'Исх данные'!Q13*2,IF(AND('Исх данные'!C13=2,'Исх данные'!V13=2),'Исх данные'!Q13*2*2,0)),"---")</f>
        <v>---</v>
      </c>
      <c r="AA13" s="69" t="str">
        <f>IF(B13&gt;0,IF('Исх данные'!C13=3,'Исх данные'!Q13*2*2,0),"---")</f>
        <v>---</v>
      </c>
      <c r="AB13" s="69" t="str">
        <f>IF('Исх данные'!C13=1,IF(OR('Исх данные'!S13=1,'Исх данные'!T13=1,'Исх данные'!V13),IF(('Исх данные'!G13/Ножницы!E13)*0.5&gt;=150,"07.239.06.00.000",IF(('Исх данные'!G13/Ножницы!E13)*0.5&lt;150,"07.087.04.00.000","/")),0),"КПУ1")</f>
        <v>КПУ1</v>
      </c>
      <c r="AC13" t="str">
        <f>IF('Исх данные'!C13=2,IF(AND('Исх данные'!S13=0, 'Исх данные'!T13=0,'Исх данные'!V13=0),"07.239.05.00.000",IF(OR('Исх данные'!S13=1, 'Исх данные'!T13=1,'Исх данные'!V13=1,'Исх данные'!V13=2),IF(('Исх данные'!G13/Ножницы!E13)*0.5&gt;=150,"07.239.06.00.022",IF(('Исх данные'!G13/Ножницы!E13)*0.5&lt;150,"07.087.04.00.000",0)),"/")),"КПУ2")</f>
        <v>КПУ2</v>
      </c>
      <c r="AD13" t="str">
        <f>IF('Исх данные'!C13=3,"07.239.07.00.000","КПУ3")</f>
        <v>КПУ3</v>
      </c>
      <c r="AG13" s="61"/>
      <c r="AH13" s="61"/>
      <c r="AI13" s="61"/>
      <c r="AJ13" s="61"/>
      <c r="AK13" s="61"/>
      <c r="AL13" s="61"/>
      <c r="AM13" s="61"/>
      <c r="AN13" s="61"/>
      <c r="AO13" s="61"/>
    </row>
    <row r="14" spans="1:41">
      <c r="A14" s="61">
        <f>'Исх данные'!A14</f>
        <v>0</v>
      </c>
      <c r="B14" s="116">
        <f>'Исх данные'!H14-0.6</f>
        <v>-0.6</v>
      </c>
      <c r="C14" s="116">
        <f>2*'Исх данные'!Q14</f>
        <v>0</v>
      </c>
      <c r="D14" s="116">
        <f>IF('Исх данные'!G14&lt;250,0,IF('Исх данные'!G14&gt;=250,0.33*'Исх данные'!G14-43.6,))</f>
        <v>0</v>
      </c>
      <c r="E14" s="116">
        <f>IF('Исх данные'!G14&lt;250,0,'Исх данные'!Q14*2)</f>
        <v>0</v>
      </c>
      <c r="F14" s="116">
        <f>0.67*'Исх данные'!G14-43.6</f>
        <v>-43.6</v>
      </c>
      <c r="G14" s="116">
        <f>'Исх данные'!Q14*2</f>
        <v>0</v>
      </c>
      <c r="H14" s="116">
        <f>'Исх данные'!Q14</f>
        <v>0</v>
      </c>
      <c r="I14" s="116">
        <f>'Исх данные'!Q14</f>
        <v>0</v>
      </c>
      <c r="J14" s="116">
        <f>IF('Исх данные'!H14&lt;=600,0,(IF('Исх данные'!H14&gt;600,1*'Исх данные'!Q14)))</f>
        <v>0</v>
      </c>
      <c r="K14" s="116">
        <f>'Исх данные'!Q14</f>
        <v>0</v>
      </c>
      <c r="L14" s="116">
        <f>IF('Исх данные'!H14&lt;=250,0,(IF('Исх данные'!H14&lt;=650,1*'Исх данные'!Q14,(IF('Исх данные'!H14&gt;650,2*'Исх данные'!Q14,)))))</f>
        <v>0</v>
      </c>
      <c r="M14" s="116">
        <f>IF('Исх данные'!G14&gt;=800,'Исх данные'!Q14*4,IF('Исх данные'!H14&gt;=800,'Исх данные'!Q14*4,0))</f>
        <v>0</v>
      </c>
      <c r="N14" s="69">
        <f t="shared" si="0"/>
        <v>0</v>
      </c>
      <c r="O14" s="69">
        <f t="shared" si="2"/>
        <v>0</v>
      </c>
      <c r="P14" s="69"/>
      <c r="Q14" s="69">
        <f t="shared" si="1"/>
        <v>0</v>
      </c>
      <c r="R14" s="69">
        <f t="shared" si="3"/>
        <v>0</v>
      </c>
      <c r="S14" s="69">
        <f>IF('Исх данные'!X14=1,'Исх данные'!G14,0)</f>
        <v>0</v>
      </c>
      <c r="T14" s="69">
        <f>IF('Исх данные'!C14=2,'Исх данные'!G14,IF('Исх данные'!C14=3,'Исх данные'!G14,0))</f>
        <v>0</v>
      </c>
      <c r="U14" s="69">
        <f>IF('Исх данные'!C14=3,'Исх данные'!G14,0)</f>
        <v>0</v>
      </c>
      <c r="V14" s="69">
        <f>IF('Исх данные'!X14=1,'Исх данные'!G14,IF('Исх данные'!C14=2,'Исх данные'!G14,IF('Исх данные'!C14=3,'Исх данные'!G14,IF('Исх данные'!C14=3,'Исх данные'!G14,0))))</f>
        <v>0</v>
      </c>
      <c r="Y14" s="69" t="str">
        <f>IF(B14&gt;0,IF(AND('Исх данные'!C14=1,'Исх данные'!V14=1),'Исх данные'!Q14*2,IF(AND('Исх данные'!C14=1,'Исх данные'!V14=2),'Исх данные'!Q14*2*2,0)),"---")</f>
        <v>---</v>
      </c>
      <c r="Z14" s="69" t="str">
        <f>IF(B14&gt;0,IF(AND('Исх данные'!C14=2,'Исх данные'!V14=0),'Исх данные'!Q14*2,IF(AND('Исх данные'!C14=2,'Исх данные'!V14=2),'Исх данные'!Q14*2*2,0)),"---")</f>
        <v>---</v>
      </c>
      <c r="AA14" s="69" t="str">
        <f>IF(B14&gt;0,IF('Исх данные'!C14=3,'Исх данные'!Q14*2*2,0),"---")</f>
        <v>---</v>
      </c>
      <c r="AB14" s="69" t="str">
        <f>IF('Исх данные'!C14=1,IF(OR('Исх данные'!S14=1,'Исх данные'!T14=1,'Исх данные'!V14),IF(('Исх данные'!G14/Ножницы!E14)*0.5&gt;=150,"07.239.06.00.000",IF(('Исх данные'!G14/Ножницы!E14)*0.5&lt;150,"07.087.04.00.000","/")),0),"КПУ1")</f>
        <v>КПУ1</v>
      </c>
      <c r="AC14" t="str">
        <f>IF('Исх данные'!C14=2,IF(AND('Исх данные'!S14=0, 'Исх данные'!T14=0,'Исх данные'!V14=0),"07.239.05.00.000",IF(OR('Исх данные'!S14=1, 'Исх данные'!T14=1,'Исх данные'!V14=1,'Исх данные'!V14=2),IF(('Исх данные'!G14/Ножницы!E14)*0.5&gt;=150,"07.239.06.00.022",IF(('Исх данные'!G14/Ножницы!E14)*0.5&lt;150,"07.087.04.00.000",0)),"/")),"КПУ2")</f>
        <v>КПУ2</v>
      </c>
      <c r="AD14" t="str">
        <f>IF('Исх данные'!C14=3,"07.239.07.00.000","КПУ3")</f>
        <v>КПУ3</v>
      </c>
      <c r="AG14" s="61"/>
      <c r="AH14" s="61"/>
      <c r="AI14" s="61"/>
      <c r="AJ14" s="61"/>
      <c r="AK14" s="61"/>
      <c r="AL14" s="61"/>
      <c r="AM14" s="61"/>
      <c r="AN14" s="61"/>
      <c r="AO14" s="61"/>
    </row>
    <row r="15" spans="1:41">
      <c r="A15" s="61">
        <f>'Исх данные'!A15</f>
        <v>0</v>
      </c>
      <c r="B15" s="116">
        <f>'Исх данные'!H15-0.6</f>
        <v>-0.6</v>
      </c>
      <c r="C15" s="116">
        <f>2*'Исх данные'!Q15</f>
        <v>0</v>
      </c>
      <c r="D15" s="116">
        <f>IF('Исх данные'!G15&lt;250,0,IF('Исх данные'!G15&gt;=250,0.33*'Исх данные'!G15-43.6,))</f>
        <v>0</v>
      </c>
      <c r="E15" s="116">
        <f>IF('Исх данные'!G15&lt;250,0,'Исх данные'!Q15*2)</f>
        <v>0</v>
      </c>
      <c r="F15" s="116">
        <f>0.67*'Исх данные'!G15-43.6</f>
        <v>-43.6</v>
      </c>
      <c r="G15" s="116">
        <f>'Исх данные'!Q15*2</f>
        <v>0</v>
      </c>
      <c r="H15" s="116">
        <f>'Исх данные'!Q15</f>
        <v>0</v>
      </c>
      <c r="I15" s="116">
        <f>'Исх данные'!Q15</f>
        <v>0</v>
      </c>
      <c r="J15" s="116">
        <f>IF('Исх данные'!H15&lt;=600,0,(IF('Исх данные'!H15&gt;600,1*'Исх данные'!Q15)))</f>
        <v>0</v>
      </c>
      <c r="K15" s="116">
        <f>'Исх данные'!Q15</f>
        <v>0</v>
      </c>
      <c r="L15" s="116">
        <f>IF('Исх данные'!H15&lt;=250,0,(IF('Исх данные'!H15&lt;=650,1*'Исх данные'!Q15,(IF('Исх данные'!H15&gt;650,2*'Исх данные'!Q15,)))))</f>
        <v>0</v>
      </c>
      <c r="M15" s="116">
        <f>IF('Исх данные'!G15&gt;=800,'Исх данные'!Q15*4,IF('Исх данные'!H15&gt;=800,'Исх данные'!Q15*4,0))</f>
        <v>0</v>
      </c>
      <c r="N15" s="69">
        <f t="shared" si="0"/>
        <v>0</v>
      </c>
      <c r="O15" s="69">
        <f t="shared" si="2"/>
        <v>0</v>
      </c>
      <c r="P15" s="69"/>
      <c r="Q15" s="69">
        <f t="shared" si="1"/>
        <v>0</v>
      </c>
      <c r="R15" s="69">
        <f t="shared" si="3"/>
        <v>0</v>
      </c>
      <c r="S15" s="69">
        <f>IF('Исх данные'!X15=1,'Исх данные'!G15,0)</f>
        <v>0</v>
      </c>
      <c r="T15" s="69">
        <f>IF('Исх данные'!C15=2,'Исх данные'!G15,IF('Исх данные'!C15=3,'Исх данные'!G15,0))</f>
        <v>0</v>
      </c>
      <c r="U15" s="69">
        <f>IF('Исх данные'!C15=3,'Исх данные'!G15,0)</f>
        <v>0</v>
      </c>
      <c r="V15" s="69">
        <f>IF('Исх данные'!X15=1,'Исх данные'!G15,IF('Исх данные'!C15=2,'Исх данные'!G15,IF('Исх данные'!C15=3,'Исх данные'!G15,IF('Исх данные'!C15=3,'Исх данные'!G15,0))))</f>
        <v>0</v>
      </c>
      <c r="Y15" s="69" t="str">
        <f>IF(B15&gt;0,IF(AND('Исх данные'!C15=1,'Исх данные'!V15=1),'Исх данные'!Q15*2,IF(AND('Исх данные'!C15=1,'Исх данные'!V15=2),'Исх данные'!Q15*2*2,0)),"---")</f>
        <v>---</v>
      </c>
      <c r="Z15" s="69" t="str">
        <f>IF(B15&gt;0,IF(AND('Исх данные'!C15=2,'Исх данные'!V15=0),'Исх данные'!Q15*2,IF(AND('Исх данные'!C15=2,'Исх данные'!V15=2),'Исх данные'!Q15*2*2,0)),"---")</f>
        <v>---</v>
      </c>
      <c r="AA15" s="69" t="str">
        <f>IF(B15&gt;0,IF('Исх данные'!C15=3,'Исх данные'!Q15*2*2,0),"---")</f>
        <v>---</v>
      </c>
      <c r="AB15" s="69" t="str">
        <f>IF('Исх данные'!C15=1,IF(OR('Исх данные'!S15=1,'Исх данные'!T15=1,'Исх данные'!V15),IF(('Исх данные'!G15/Ножницы!E15)*0.5&gt;=150,"07.239.06.00.000",IF(('Исх данные'!G15/Ножницы!E15)*0.5&lt;150,"07.087.04.00.000","/")),0),"КПУ1")</f>
        <v>КПУ1</v>
      </c>
      <c r="AC15" t="str">
        <f>IF('Исх данные'!C15=2,IF(AND('Исх данные'!S15=0, 'Исх данные'!T15=0,'Исх данные'!V15=0),"07.239.05.00.000",IF(OR('Исх данные'!S15=1, 'Исх данные'!T15=1,'Исх данные'!V15=1,'Исх данные'!V15=2),IF(('Исх данные'!G15/Ножницы!E15)*0.5&gt;=150,"07.239.06.00.022",IF(('Исх данные'!G15/Ножницы!E15)*0.5&lt;150,"07.087.04.00.000",0)),"/")),"КПУ2")</f>
        <v>КПУ2</v>
      </c>
      <c r="AD15" t="str">
        <f>IF('Исх данные'!C15=3,"07.239.07.00.000","КПУ3")</f>
        <v>КПУ3</v>
      </c>
      <c r="AG15" s="61"/>
      <c r="AH15" s="61"/>
      <c r="AI15" s="61"/>
      <c r="AJ15" s="61"/>
      <c r="AK15" s="61"/>
      <c r="AL15" s="61"/>
      <c r="AM15" s="61"/>
      <c r="AN15" s="61"/>
      <c r="AO15" s="61"/>
    </row>
    <row r="16" spans="1:41">
      <c r="A16" s="61">
        <f>'Исх данные'!A16</f>
        <v>0</v>
      </c>
      <c r="B16" s="116">
        <f>'Исх данные'!H16-0.6</f>
        <v>-0.6</v>
      </c>
      <c r="C16" s="116">
        <f>2*'Исх данные'!Q16</f>
        <v>0</v>
      </c>
      <c r="D16" s="116">
        <f>IF('Исх данные'!G16&lt;250,0,IF('Исх данные'!G16&gt;=250,0.33*'Исх данные'!G16-43.6,))</f>
        <v>0</v>
      </c>
      <c r="E16" s="116">
        <f>IF('Исх данные'!G16&lt;250,0,'Исх данные'!Q16*2)</f>
        <v>0</v>
      </c>
      <c r="F16" s="116">
        <f>0.67*'Исх данные'!G16-43.6</f>
        <v>-43.6</v>
      </c>
      <c r="G16" s="116">
        <f>'Исх данные'!Q16*2</f>
        <v>0</v>
      </c>
      <c r="H16" s="116">
        <f>'Исх данные'!Q16</f>
        <v>0</v>
      </c>
      <c r="I16" s="116">
        <f>'Исх данные'!Q16</f>
        <v>0</v>
      </c>
      <c r="J16" s="116">
        <f>IF('Исх данные'!H16&lt;=600,0,(IF('Исх данные'!H16&gt;600,1*'Исх данные'!Q16)))</f>
        <v>0</v>
      </c>
      <c r="K16" s="116">
        <f>'Исх данные'!Q16</f>
        <v>0</v>
      </c>
      <c r="L16" s="116">
        <f>IF('Исх данные'!H16&lt;=250,0,(IF('Исх данные'!H16&lt;=650,1*'Исх данные'!Q16,(IF('Исх данные'!H16&gt;650,2*'Исх данные'!Q16,)))))</f>
        <v>0</v>
      </c>
      <c r="M16" s="116">
        <f>IF('Исх данные'!G16&gt;=800,'Исх данные'!Q16*4,IF('Исх данные'!H16&gt;=800,'Исх данные'!Q16*4,0))</f>
        <v>0</v>
      </c>
      <c r="N16" s="69">
        <f t="shared" si="0"/>
        <v>0</v>
      </c>
      <c r="O16" s="69">
        <f t="shared" si="2"/>
        <v>0</v>
      </c>
      <c r="P16" s="69"/>
      <c r="Q16" s="69">
        <f t="shared" si="1"/>
        <v>0</v>
      </c>
      <c r="R16" s="69">
        <f t="shared" si="3"/>
        <v>0</v>
      </c>
      <c r="S16" s="69">
        <f>IF('Исх данные'!X16=1,'Исх данные'!G16,0)</f>
        <v>0</v>
      </c>
      <c r="T16" s="69">
        <f>IF('Исх данные'!C16=2,'Исх данные'!G16,IF('Исх данные'!C16=3,'Исх данные'!G16,0))</f>
        <v>0</v>
      </c>
      <c r="U16" s="69">
        <f>IF('Исх данные'!C16=3,'Исх данные'!G16,0)</f>
        <v>0</v>
      </c>
      <c r="V16" s="69">
        <f>IF('Исх данные'!X16=1,'Исх данные'!G16,IF('Исх данные'!C16=2,'Исх данные'!G16,IF('Исх данные'!C16=3,'Исх данные'!G16,IF('Исх данные'!C16=3,'Исх данные'!G16,0))))</f>
        <v>0</v>
      </c>
      <c r="Y16" s="69" t="str">
        <f>IF(B16&gt;0,IF(AND('Исх данные'!C16=1,'Исх данные'!V16=1),'Исх данные'!Q16*2,IF(AND('Исх данные'!C16=1,'Исх данные'!V16=2),'Исх данные'!Q16*2*2,0)),"---")</f>
        <v>---</v>
      </c>
      <c r="Z16" s="69" t="str">
        <f>IF(B16&gt;0,IF(AND('Исх данные'!C16=2,'Исх данные'!V16=0),'Исх данные'!Q16*2,IF(AND('Исх данные'!C16=2,'Исх данные'!V16=2),'Исх данные'!Q16*2*2,0)),"---")</f>
        <v>---</v>
      </c>
      <c r="AA16" s="69" t="str">
        <f>IF(B16&gt;0,IF('Исх данные'!C16=3,'Исх данные'!Q16*2*2,0),"---")</f>
        <v>---</v>
      </c>
      <c r="AB16" s="69" t="str">
        <f>IF('Исх данные'!C16=1,IF(OR('Исх данные'!S16=1,'Исх данные'!T16=1,'Исх данные'!V16),IF(('Исх данные'!G16/Ножницы!E16)*0.5&gt;=150,"07.239.06.00.000",IF(('Исх данные'!G16/Ножницы!E16)*0.5&lt;150,"07.087.04.00.000","/")),0),"КПУ1")</f>
        <v>КПУ1</v>
      </c>
      <c r="AC16" t="str">
        <f>IF('Исх данные'!C16=2,IF(AND('Исх данные'!S16=0, 'Исх данные'!T16=0,'Исх данные'!V16=0),"07.239.05.00.000",IF(OR('Исх данные'!S16=1, 'Исх данные'!T16=1,'Исх данные'!V16=1,'Исх данные'!V16=2),IF(('Исх данные'!G16/Ножницы!E16)*0.5&gt;=150,"07.239.06.00.022",IF(('Исх данные'!G16/Ножницы!E16)*0.5&lt;150,"07.087.04.00.000",0)),"/")),"КПУ2")</f>
        <v>КПУ2</v>
      </c>
      <c r="AD16" t="str">
        <f>IF('Исх данные'!C16=3,"07.239.07.00.000","КПУ3")</f>
        <v>КПУ3</v>
      </c>
      <c r="AG16" s="61"/>
      <c r="AH16" s="61"/>
      <c r="AI16" s="61"/>
      <c r="AJ16" s="61"/>
      <c r="AK16" s="61"/>
      <c r="AL16" s="61"/>
      <c r="AM16" s="61"/>
      <c r="AN16" s="61"/>
      <c r="AO16" s="61"/>
    </row>
    <row r="17" spans="1:41">
      <c r="A17" s="61">
        <f>'Исх данные'!A17</f>
        <v>0</v>
      </c>
      <c r="B17" s="116">
        <f>'Исх данные'!H17-0.6</f>
        <v>-0.6</v>
      </c>
      <c r="C17" s="116">
        <f>2*'Исх данные'!Q17</f>
        <v>0</v>
      </c>
      <c r="D17" s="116">
        <f>IF('Исх данные'!G17&lt;250,0,IF('Исх данные'!G17&gt;=250,0.33*'Исх данные'!G17-43.6,))</f>
        <v>0</v>
      </c>
      <c r="E17" s="116">
        <f>IF('Исх данные'!G17&lt;250,0,'Исх данные'!Q17*2)</f>
        <v>0</v>
      </c>
      <c r="F17" s="116">
        <f>0.67*'Исх данные'!G17-43.6</f>
        <v>-43.6</v>
      </c>
      <c r="G17" s="116">
        <f>'Исх данные'!Q17*2</f>
        <v>0</v>
      </c>
      <c r="H17" s="116">
        <f>'Исх данные'!Q17</f>
        <v>0</v>
      </c>
      <c r="I17" s="116">
        <f>'Исх данные'!Q17</f>
        <v>0</v>
      </c>
      <c r="J17" s="116">
        <f>IF('Исх данные'!H17&lt;=600,0,(IF('Исх данные'!H17&gt;600,1*'Исх данные'!Q17)))</f>
        <v>0</v>
      </c>
      <c r="K17" s="116">
        <f>'Исх данные'!Q17</f>
        <v>0</v>
      </c>
      <c r="L17" s="116">
        <f>IF('Исх данные'!H17&lt;=250,0,(IF('Исх данные'!H17&lt;=650,1*'Исх данные'!Q17,(IF('Исх данные'!H17&gt;650,2*'Исх данные'!Q17,)))))</f>
        <v>0</v>
      </c>
      <c r="M17" s="116">
        <f>IF('Исх данные'!G17&gt;=800,'Исх данные'!Q17*4,IF('Исх данные'!H17&gt;=800,'Исх данные'!Q17*4,0))</f>
        <v>0</v>
      </c>
      <c r="N17" s="69">
        <f t="shared" si="0"/>
        <v>0</v>
      </c>
      <c r="O17" s="69">
        <f t="shared" si="2"/>
        <v>0</v>
      </c>
      <c r="P17" s="69"/>
      <c r="Q17" s="69">
        <f t="shared" si="1"/>
        <v>0</v>
      </c>
      <c r="R17" s="69">
        <f t="shared" si="3"/>
        <v>0</v>
      </c>
      <c r="S17" s="69">
        <f>IF('Исх данные'!X17=1,'Исх данные'!G17,0)</f>
        <v>0</v>
      </c>
      <c r="T17" s="69">
        <f>IF('Исх данные'!C17=2,'Исх данные'!G17,IF('Исх данные'!C17=3,'Исх данные'!G17,0))</f>
        <v>0</v>
      </c>
      <c r="U17" s="69">
        <f>IF('Исх данные'!C17=3,'Исх данные'!G17,0)</f>
        <v>0</v>
      </c>
      <c r="V17" s="69">
        <f>IF('Исх данные'!X17=1,'Исх данные'!G17,IF('Исх данные'!C17=2,'Исх данные'!G17,IF('Исх данные'!C17=3,'Исх данные'!G17,IF('Исх данные'!C17=3,'Исх данные'!G17,0))))</f>
        <v>0</v>
      </c>
      <c r="Y17" s="69" t="str">
        <f>IF(B17&gt;0,IF(AND('Исх данные'!C17=1,'Исх данные'!V17=1),'Исх данные'!Q17*2,IF(AND('Исх данные'!C17=1,'Исх данные'!V17=2),'Исх данные'!Q17*2*2,0)),"---")</f>
        <v>---</v>
      </c>
      <c r="Z17" s="69" t="str">
        <f>IF(B17&gt;0,IF(AND('Исх данные'!C17=2,'Исх данные'!V17=0),'Исх данные'!Q17*2,IF(AND('Исх данные'!C17=2,'Исх данные'!V17=2),'Исх данные'!Q17*2*2,0)),"---")</f>
        <v>---</v>
      </c>
      <c r="AA17" s="69" t="str">
        <f>IF(B17&gt;0,IF('Исх данные'!C17=3,'Исх данные'!Q17*2*2,0),"---")</f>
        <v>---</v>
      </c>
      <c r="AB17" s="69" t="str">
        <f>IF('Исх данные'!C17=1,IF(OR('Исх данные'!S17=1,'Исх данные'!T17=1,'Исх данные'!V17),IF(('Исх данные'!G17/Ножницы!E17)*0.5&gt;=150,"07.239.06.00.000",IF(('Исх данные'!G17/Ножницы!E17)*0.5&lt;150,"07.087.04.00.000","/")),0),"КПУ1")</f>
        <v>КПУ1</v>
      </c>
      <c r="AC17" t="str">
        <f>IF('Исх данные'!C17=2,IF(AND('Исх данные'!S17=0, 'Исх данные'!T17=0,'Исх данные'!V17=0),"07.239.05.00.000",IF(OR('Исх данные'!S17=1, 'Исх данные'!T17=1,'Исх данные'!V17=1,'Исх данные'!V17=2),IF(('Исх данные'!G17/Ножницы!E17)*0.5&gt;=150,"07.239.06.00.022",IF(('Исх данные'!G17/Ножницы!E17)*0.5&lt;150,"07.087.04.00.000",0)),"/")),"КПУ2")</f>
        <v>КПУ2</v>
      </c>
      <c r="AD17" t="str">
        <f>IF('Исх данные'!C17=3,"07.239.07.00.000","КПУ3")</f>
        <v>КПУ3</v>
      </c>
      <c r="AG17" s="61"/>
      <c r="AH17" s="61"/>
      <c r="AI17" s="61"/>
      <c r="AJ17" s="61"/>
      <c r="AK17" s="61"/>
      <c r="AL17" s="61"/>
      <c r="AM17" s="61"/>
      <c r="AN17" s="61"/>
      <c r="AO17" s="61"/>
    </row>
    <row r="18" spans="1:41">
      <c r="A18" s="61">
        <f>'Исх данные'!A18</f>
        <v>0</v>
      </c>
      <c r="B18" s="116">
        <f>'Исх данные'!H18-0.6</f>
        <v>-0.6</v>
      </c>
      <c r="C18" s="116">
        <f>2*'Исх данные'!Q18</f>
        <v>0</v>
      </c>
      <c r="D18" s="116">
        <f>IF('Исх данные'!G18&lt;250,0,IF('Исх данные'!G18&gt;=250,0.33*'Исх данные'!G18-43.6,))</f>
        <v>0</v>
      </c>
      <c r="E18" s="116">
        <f>IF('Исх данные'!G18&lt;250,0,'Исх данные'!Q18*2)</f>
        <v>0</v>
      </c>
      <c r="F18" s="116">
        <f>0.67*'Исх данные'!G18-43.6</f>
        <v>-43.6</v>
      </c>
      <c r="G18" s="116">
        <f>'Исх данные'!Q18*2</f>
        <v>0</v>
      </c>
      <c r="H18" s="116">
        <f>'Исх данные'!Q18</f>
        <v>0</v>
      </c>
      <c r="I18" s="116">
        <f>'Исх данные'!Q18</f>
        <v>0</v>
      </c>
      <c r="J18" s="116">
        <f>IF('Исх данные'!H18&lt;=600,0,(IF('Исх данные'!H18&gt;600,1*'Исх данные'!Q18)))</f>
        <v>0</v>
      </c>
      <c r="K18" s="116">
        <f>'Исх данные'!Q18</f>
        <v>0</v>
      </c>
      <c r="L18" s="116">
        <f>IF('Исх данные'!H18&lt;=250,0,(IF('Исх данные'!H18&lt;=650,1*'Исх данные'!Q18,(IF('Исх данные'!H18&gt;650,2*'Исх данные'!Q18,)))))</f>
        <v>0</v>
      </c>
      <c r="M18" s="116">
        <f>IF('Исх данные'!G18&gt;=800,'Исх данные'!Q18*4,IF('Исх данные'!H18&gt;=800,'Исх данные'!Q18*4,0))</f>
        <v>0</v>
      </c>
      <c r="N18" s="69">
        <f t="shared" si="0"/>
        <v>0</v>
      </c>
      <c r="O18" s="69">
        <f t="shared" si="2"/>
        <v>0</v>
      </c>
      <c r="P18" s="69"/>
      <c r="Q18" s="69">
        <f t="shared" si="1"/>
        <v>0</v>
      </c>
      <c r="R18" s="69">
        <f t="shared" si="3"/>
        <v>0</v>
      </c>
      <c r="S18" s="69">
        <f>IF('Исх данные'!X18=1,'Исх данные'!G18,0)</f>
        <v>0</v>
      </c>
      <c r="T18" s="69">
        <f>IF('Исх данные'!C18=2,'Исх данные'!G18,IF('Исх данные'!C18=3,'Исх данные'!G18,0))</f>
        <v>0</v>
      </c>
      <c r="U18" s="69">
        <f>IF('Исх данные'!C18=3,'Исх данные'!G18,0)</f>
        <v>0</v>
      </c>
      <c r="V18" s="69">
        <f>IF('Исх данные'!X18=1,'Исх данные'!G18,IF('Исх данные'!C18=2,'Исх данные'!G18,IF('Исх данные'!C18=3,'Исх данные'!G18,IF('Исх данные'!C18=3,'Исх данные'!G18,0))))</f>
        <v>0</v>
      </c>
      <c r="Y18" s="69" t="str">
        <f>IF(B18&gt;0,IF(AND('Исх данные'!C18=1,'Исх данные'!V18=1),'Исх данные'!Q18*2,IF(AND('Исх данные'!C18=1,'Исх данные'!V18=2),'Исх данные'!Q18*2*2,0)),"---")</f>
        <v>---</v>
      </c>
      <c r="Z18" s="69" t="str">
        <f>IF(B18&gt;0,IF(AND('Исх данные'!C18=2,'Исх данные'!V18=0),'Исх данные'!Q18*2,IF(AND('Исх данные'!C18=2,'Исх данные'!V18=2),'Исх данные'!Q18*2*2,0)),"---")</f>
        <v>---</v>
      </c>
      <c r="AA18" s="69" t="str">
        <f>IF(B18&gt;0,IF('Исх данные'!C18=3,'Исх данные'!Q18*2*2,0),"---")</f>
        <v>---</v>
      </c>
      <c r="AB18" s="69" t="str">
        <f>IF('Исх данные'!C18=1,IF(OR('Исх данные'!S18=1,'Исх данные'!T18=1,'Исх данные'!V18),IF(('Исх данные'!G18/Ножницы!E18)*0.5&gt;=150,"07.239.06.00.000",IF(('Исх данные'!G18/Ножницы!E18)*0.5&lt;150,"07.087.04.00.000","/")),0),"КПУ1")</f>
        <v>КПУ1</v>
      </c>
      <c r="AC18" t="str">
        <f>IF('Исх данные'!C18=2,IF(AND('Исх данные'!S18=0, 'Исх данные'!T18=0,'Исх данные'!V18=0),"07.239.05.00.000",IF(OR('Исх данные'!S18=1, 'Исх данные'!T18=1,'Исх данные'!V18=1,'Исх данные'!V18=2),IF(('Исх данные'!G18/Ножницы!E18)*0.5&gt;=150,"07.239.06.00.022",IF(('Исх данные'!G18/Ножницы!E18)*0.5&lt;150,"07.087.04.00.000",0)),"/")),"КПУ2")</f>
        <v>КПУ2</v>
      </c>
      <c r="AD18" t="str">
        <f>IF('Исх данные'!C18=3,"07.239.07.00.000","КПУ3")</f>
        <v>КПУ3</v>
      </c>
      <c r="AG18" s="61"/>
      <c r="AH18" s="61"/>
      <c r="AI18" s="61"/>
      <c r="AJ18" s="61"/>
      <c r="AK18" s="61"/>
      <c r="AL18" s="61"/>
      <c r="AM18" s="61"/>
      <c r="AN18" s="61"/>
      <c r="AO18" s="61"/>
    </row>
    <row r="19" spans="1:41">
      <c r="A19" s="61">
        <f>'Исх данные'!A19</f>
        <v>0</v>
      </c>
      <c r="B19" s="116">
        <f>'Исх данные'!H19-0.6</f>
        <v>-0.6</v>
      </c>
      <c r="C19" s="116">
        <f>2*'Исх данные'!Q19</f>
        <v>0</v>
      </c>
      <c r="D19" s="116">
        <f>IF('Исх данные'!G19&lt;250,0,IF('Исх данные'!G19&gt;=250,0.33*'Исх данные'!G19-43.6,))</f>
        <v>0</v>
      </c>
      <c r="E19" s="116">
        <f>IF('Исх данные'!G19&lt;250,0,'Исх данные'!Q19*2)</f>
        <v>0</v>
      </c>
      <c r="F19" s="116">
        <f>0.67*'Исх данные'!G19-43.6</f>
        <v>-43.6</v>
      </c>
      <c r="G19" s="116">
        <f>'Исх данные'!Q19*2</f>
        <v>0</v>
      </c>
      <c r="H19" s="116">
        <f>'Исх данные'!Q19</f>
        <v>0</v>
      </c>
      <c r="I19" s="116">
        <f>'Исх данные'!Q19</f>
        <v>0</v>
      </c>
      <c r="J19" s="116">
        <f>IF('Исх данные'!H19&lt;=600,0,(IF('Исх данные'!H19&gt;600,1*'Исх данные'!Q19)))</f>
        <v>0</v>
      </c>
      <c r="K19" s="116">
        <f>'Исх данные'!Q19</f>
        <v>0</v>
      </c>
      <c r="L19" s="116">
        <f>IF('Исх данные'!H19&lt;=250,0,(IF('Исх данные'!H19&lt;=650,1*'Исх данные'!Q19,(IF('Исх данные'!H19&gt;650,2*'Исх данные'!Q19,)))))</f>
        <v>0</v>
      </c>
      <c r="M19" s="116">
        <f>IF('Исх данные'!G19&gt;=800,'Исх данные'!Q19*4,IF('Исх данные'!H19&gt;=800,'Исх данные'!Q19*4,0))</f>
        <v>0</v>
      </c>
      <c r="N19" s="69">
        <f t="shared" si="0"/>
        <v>0</v>
      </c>
      <c r="O19" s="69">
        <f t="shared" si="2"/>
        <v>0</v>
      </c>
      <c r="P19" s="69"/>
      <c r="Q19" s="69">
        <f t="shared" si="1"/>
        <v>0</v>
      </c>
      <c r="R19" s="69">
        <f t="shared" si="3"/>
        <v>0</v>
      </c>
      <c r="S19" s="69">
        <f>IF('Исх данные'!X19=1,'Исх данные'!G19,0)</f>
        <v>0</v>
      </c>
      <c r="T19" s="69">
        <f>IF('Исх данные'!C19=2,'Исх данные'!G19,IF('Исх данные'!C19=3,'Исх данные'!G19,0))</f>
        <v>0</v>
      </c>
      <c r="U19" s="69">
        <f>IF('Исх данные'!C19=3,'Исх данные'!G19,0)</f>
        <v>0</v>
      </c>
      <c r="V19" s="69">
        <f>IF('Исх данные'!X19=1,'Исх данные'!G19,IF('Исх данные'!C19=2,'Исх данные'!G19,IF('Исх данные'!C19=3,'Исх данные'!G19,IF('Исх данные'!C19=3,'Исх данные'!G19,0))))</f>
        <v>0</v>
      </c>
      <c r="Y19" s="69" t="str">
        <f>IF(B19&gt;0,IF(AND('Исх данные'!C19=1,'Исх данные'!V19=1),'Исх данные'!Q19*2,IF(AND('Исх данные'!C19=1,'Исх данные'!V19=2),'Исх данные'!Q19*2*2,0)),"---")</f>
        <v>---</v>
      </c>
      <c r="Z19" s="69" t="str">
        <f>IF(B19&gt;0,IF(AND('Исх данные'!C19=2,'Исх данные'!V19=0),'Исх данные'!Q19*2,IF(AND('Исх данные'!C19=2,'Исх данные'!V19=2),'Исх данные'!Q19*2*2,0)),"---")</f>
        <v>---</v>
      </c>
      <c r="AA19" s="69" t="str">
        <f>IF(B19&gt;0,IF('Исх данные'!C19=3,'Исх данные'!Q19*2*2,0),"---")</f>
        <v>---</v>
      </c>
      <c r="AB19" s="69" t="str">
        <f>IF('Исх данные'!C19=1,IF(OR('Исх данные'!S19=1,'Исх данные'!T19=1,'Исх данные'!V19),IF(('Исх данные'!G19/Ножницы!E19)*0.5&gt;=150,"07.239.06.00.000",IF(('Исх данные'!G19/Ножницы!E19)*0.5&lt;150,"07.087.04.00.000","/")),0),"КПУ1")</f>
        <v>КПУ1</v>
      </c>
      <c r="AC19" t="str">
        <f>IF('Исх данные'!C19=2,IF(AND('Исх данные'!S19=0, 'Исх данные'!T19=0,'Исх данные'!V19=0),"07.239.05.00.000",IF(OR('Исх данные'!S19=1, 'Исх данные'!T19=1,'Исх данные'!V19=1,'Исх данные'!V19=2),IF(('Исх данные'!G19/Ножницы!E19)*0.5&gt;=150,"07.239.06.00.022",IF(('Исх данные'!G19/Ножницы!E19)*0.5&lt;150,"07.087.04.00.000",0)),"/")),"КПУ2")</f>
        <v>КПУ2</v>
      </c>
      <c r="AD19" t="str">
        <f>IF('Исх данные'!C19=3,"07.239.07.00.000","КПУ3")</f>
        <v>КПУ3</v>
      </c>
      <c r="AG19" s="61"/>
      <c r="AH19" s="61"/>
      <c r="AI19" s="61"/>
      <c r="AJ19" s="61"/>
      <c r="AK19" s="61"/>
      <c r="AL19" s="61"/>
      <c r="AM19" s="61"/>
      <c r="AN19" s="61"/>
      <c r="AO19" s="61"/>
    </row>
    <row r="20" spans="1:41">
      <c r="A20" s="61">
        <f>'Исх данные'!A20</f>
        <v>0</v>
      </c>
      <c r="B20" s="116">
        <f>'Исх данные'!H20-0.6</f>
        <v>-0.6</v>
      </c>
      <c r="C20" s="116">
        <f>2*'Исх данные'!Q20</f>
        <v>0</v>
      </c>
      <c r="D20" s="116">
        <f>IF('Исх данные'!G20&lt;250,0,IF('Исх данные'!G20&gt;=250,0.33*'Исх данные'!G20-43.6,))</f>
        <v>0</v>
      </c>
      <c r="E20" s="116">
        <f>IF('Исх данные'!G20&lt;250,0,'Исх данные'!Q20*2)</f>
        <v>0</v>
      </c>
      <c r="F20" s="116">
        <f>0.67*'Исх данные'!G20-43.6</f>
        <v>-43.6</v>
      </c>
      <c r="G20" s="116">
        <f>'Исх данные'!Q20*2</f>
        <v>0</v>
      </c>
      <c r="H20" s="116">
        <f>'Исх данные'!Q20</f>
        <v>0</v>
      </c>
      <c r="I20" s="116">
        <f>'Исх данные'!Q20</f>
        <v>0</v>
      </c>
      <c r="J20" s="116">
        <f>IF('Исх данные'!H20&lt;=600,0,(IF('Исх данные'!H20&gt;600,1*'Исх данные'!Q20)))</f>
        <v>0</v>
      </c>
      <c r="K20" s="116">
        <f>'Исх данные'!Q20</f>
        <v>0</v>
      </c>
      <c r="L20" s="116">
        <f>IF('Исх данные'!H20&lt;=250,0,(IF('Исх данные'!H20&lt;=650,1*'Исх данные'!Q20,(IF('Исх данные'!H20&gt;650,2*'Исх данные'!Q20,)))))</f>
        <v>0</v>
      </c>
      <c r="M20" s="116">
        <f>IF('Исх данные'!G20&gt;=800,'Исх данные'!Q20*4,IF('Исх данные'!H20&gt;=800,'Исх данные'!Q20*4,0))</f>
        <v>0</v>
      </c>
      <c r="N20" s="69">
        <f t="shared" si="0"/>
        <v>0</v>
      </c>
      <c r="O20" s="69">
        <f t="shared" si="2"/>
        <v>0</v>
      </c>
      <c r="P20" s="69"/>
      <c r="Q20" s="69">
        <f t="shared" si="1"/>
        <v>0</v>
      </c>
      <c r="R20" s="69">
        <f t="shared" si="3"/>
        <v>0</v>
      </c>
      <c r="S20" s="69">
        <f>IF('Исх данные'!X20=1,'Исх данные'!G20,0)</f>
        <v>0</v>
      </c>
      <c r="T20" s="69">
        <f>IF('Исх данные'!C20=2,'Исх данные'!G20,IF('Исх данные'!C20=3,'Исх данные'!G20,0))</f>
        <v>0</v>
      </c>
      <c r="U20" s="69">
        <f>IF('Исх данные'!C20=3,'Исх данные'!G20,0)</f>
        <v>0</v>
      </c>
      <c r="V20" s="69">
        <f>IF('Исх данные'!X20=1,'Исх данные'!G20,IF('Исх данные'!C20=2,'Исх данные'!G20,IF('Исх данные'!C20=3,'Исх данные'!G20,IF('Исх данные'!C20=3,'Исх данные'!G20,0))))</f>
        <v>0</v>
      </c>
      <c r="Y20" s="69" t="str">
        <f>IF(B20&gt;0,IF(AND('Исх данные'!C20=1,'Исх данные'!V20=1),'Исх данные'!Q20*2,IF(AND('Исх данные'!C20=1,'Исх данные'!V20=2),'Исх данные'!Q20*2*2,0)),"---")</f>
        <v>---</v>
      </c>
      <c r="Z20" s="69" t="str">
        <f>IF(B20&gt;0,IF(AND('Исх данные'!C20=2,'Исх данные'!V20=0),'Исх данные'!Q20*2,IF(AND('Исх данные'!C20=2,'Исх данные'!V20=2),'Исх данные'!Q20*2*2,0)),"---")</f>
        <v>---</v>
      </c>
      <c r="AA20" s="69" t="str">
        <f>IF(B20&gt;0,IF('Исх данные'!C20=3,'Исх данные'!Q20*2*2,0),"---")</f>
        <v>---</v>
      </c>
      <c r="AB20" s="69" t="str">
        <f>IF('Исх данные'!C20=1,IF(OR('Исх данные'!S20=1,'Исх данные'!T20=1,'Исх данные'!V20),IF(('Исх данные'!G20/Ножницы!E20)*0.5&gt;=150,"07.239.06.00.000",IF(('Исх данные'!G20/Ножницы!E20)*0.5&lt;150,"07.087.04.00.000","/")),0),"КПУ1")</f>
        <v>КПУ1</v>
      </c>
      <c r="AC20" t="str">
        <f>IF('Исх данные'!C20=2,IF(AND('Исх данные'!S20=0, 'Исх данные'!T20=0,'Исх данные'!V20=0),"07.239.05.00.000",IF(OR('Исх данные'!S20=1, 'Исх данные'!T20=1,'Исх данные'!V20=1,'Исх данные'!V20=2),IF(('Исх данные'!G20/Ножницы!E20)*0.5&gt;=150,"07.239.06.00.022",IF(('Исх данные'!G20/Ножницы!E20)*0.5&lt;150,"07.087.04.00.000",0)),"/")),"КПУ2")</f>
        <v>КПУ2</v>
      </c>
      <c r="AD20" t="str">
        <f>IF('Исх данные'!C20=3,"07.239.07.00.000","КПУ3")</f>
        <v>КПУ3</v>
      </c>
      <c r="AG20" s="61"/>
      <c r="AH20" s="61"/>
      <c r="AI20" s="61"/>
      <c r="AJ20" s="61"/>
      <c r="AK20" s="61"/>
      <c r="AL20" s="61"/>
      <c r="AM20" s="61"/>
      <c r="AN20" s="61"/>
      <c r="AO20" s="61"/>
    </row>
    <row r="21" spans="1:41">
      <c r="A21" s="61">
        <f>'Исх данные'!A21</f>
        <v>0</v>
      </c>
      <c r="B21" s="116">
        <f>'Исх данные'!H21-0.6</f>
        <v>-0.6</v>
      </c>
      <c r="C21" s="116">
        <f>2*'Исх данные'!Q21</f>
        <v>0</v>
      </c>
      <c r="D21" s="116">
        <f>IF('Исх данные'!G21&lt;250,0,IF('Исх данные'!G21&gt;=250,0.33*'Исх данные'!G21-43.6,))</f>
        <v>0</v>
      </c>
      <c r="E21" s="116">
        <f>IF('Исх данные'!G21&lt;250,0,'Исх данные'!Q21*2)</f>
        <v>0</v>
      </c>
      <c r="F21" s="116">
        <f>0.67*'Исх данные'!G21-43.6</f>
        <v>-43.6</v>
      </c>
      <c r="G21" s="116">
        <f>'Исх данные'!Q21*2</f>
        <v>0</v>
      </c>
      <c r="H21" s="116">
        <f>'Исх данные'!Q21</f>
        <v>0</v>
      </c>
      <c r="I21" s="116">
        <f>'Исх данные'!Q21</f>
        <v>0</v>
      </c>
      <c r="J21" s="116">
        <f>IF('Исх данные'!H21&lt;=600,0,(IF('Исх данные'!H21&gt;600,1*'Исх данные'!Q21)))</f>
        <v>0</v>
      </c>
      <c r="K21" s="116">
        <f>'Исх данные'!Q21</f>
        <v>0</v>
      </c>
      <c r="L21" s="116">
        <f>IF('Исх данные'!H21&lt;=250,0,(IF('Исх данные'!H21&lt;=650,1*'Исх данные'!Q21,(IF('Исх данные'!H21&gt;650,2*'Исх данные'!Q21,)))))</f>
        <v>0</v>
      </c>
      <c r="M21" s="116">
        <f>IF('Исх данные'!G21&gt;=800,'Исх данные'!Q21*4,IF('Исх данные'!H21&gt;=800,'Исх данные'!Q21*4,0))</f>
        <v>0</v>
      </c>
      <c r="N21" s="69">
        <f t="shared" si="0"/>
        <v>0</v>
      </c>
      <c r="O21" s="69">
        <f t="shared" si="2"/>
        <v>0</v>
      </c>
      <c r="P21" s="69"/>
      <c r="Q21" s="69">
        <f t="shared" si="1"/>
        <v>0</v>
      </c>
      <c r="R21" s="69">
        <f t="shared" si="3"/>
        <v>0</v>
      </c>
      <c r="S21" s="69">
        <f>IF('Исх данные'!X21=1,'Исх данные'!G21,0)</f>
        <v>0</v>
      </c>
      <c r="T21" s="69">
        <f>IF('Исх данные'!C21=2,'Исх данные'!G21,IF('Исх данные'!C21=3,'Исх данные'!G21,0))</f>
        <v>0</v>
      </c>
      <c r="U21" s="69">
        <f>IF('Исх данные'!C21=3,'Исх данные'!G21,0)</f>
        <v>0</v>
      </c>
      <c r="V21" s="69">
        <f>IF('Исх данные'!X21=1,'Исх данные'!G21,IF('Исх данные'!C21=2,'Исх данные'!G21,IF('Исх данные'!C21=3,'Исх данные'!G21,IF('Исх данные'!C21=3,'Исх данные'!G21,0))))</f>
        <v>0</v>
      </c>
      <c r="Y21" s="69" t="str">
        <f>IF(B21&gt;0,IF(AND('Исх данные'!C21=1,'Исх данные'!V21=1),'Исх данные'!Q21*2,IF(AND('Исх данные'!C21=1,'Исх данные'!V21=2),'Исх данные'!Q21*2*2,0)),"---")</f>
        <v>---</v>
      </c>
      <c r="Z21" s="69" t="str">
        <f>IF(B21&gt;0,IF(AND('Исх данные'!C21=2,'Исх данные'!V21=0),'Исх данные'!Q21*2,IF(AND('Исх данные'!C21=2,'Исх данные'!V21=2),'Исх данные'!Q21*2*2,0)),"---")</f>
        <v>---</v>
      </c>
      <c r="AA21" s="69" t="str">
        <f>IF(B21&gt;0,IF('Исх данные'!C21=3,'Исх данные'!Q21*2*2,0),"---")</f>
        <v>---</v>
      </c>
      <c r="AB21" s="69" t="str">
        <f>IF('Исх данные'!C21=1,IF(OR('Исх данные'!S21=1,'Исх данные'!T21=1,'Исх данные'!V21),IF(('Исх данные'!G21/Ножницы!E21)*0.5&gt;=150,"07.239.06.00.000",IF(('Исх данные'!G21/Ножницы!E21)*0.5&lt;150,"07.087.04.00.000","/")),0),"КПУ1")</f>
        <v>КПУ1</v>
      </c>
      <c r="AC21" t="str">
        <f>IF('Исх данные'!C21=2,IF(AND('Исх данные'!S21=0, 'Исх данные'!T21=0,'Исх данные'!V21=0),"07.239.05.00.000",IF(OR('Исх данные'!S21=1, 'Исх данные'!T21=1,'Исх данные'!V21=1,'Исх данные'!V21=2),IF(('Исх данные'!G21/Ножницы!E21)*0.5&gt;=150,"07.239.06.00.022",IF(('Исх данные'!G21/Ножницы!E21)*0.5&lt;150,"07.087.04.00.000",0)),"/")),"КПУ2")</f>
        <v>КПУ2</v>
      </c>
      <c r="AD21" t="str">
        <f>IF('Исх данные'!C21=3,"07.239.07.00.000","КПУ3")</f>
        <v>КПУ3</v>
      </c>
      <c r="AG21" s="61"/>
      <c r="AH21" s="61"/>
      <c r="AI21" s="61"/>
      <c r="AJ21" s="61"/>
      <c r="AK21" s="61"/>
      <c r="AL21" s="61"/>
      <c r="AM21" s="61"/>
      <c r="AN21" s="61"/>
      <c r="AO21" s="61"/>
    </row>
    <row r="22" spans="1:41">
      <c r="A22" s="61">
        <f>'Исх данные'!A22</f>
        <v>0</v>
      </c>
      <c r="B22" s="116">
        <f>'Исх данные'!H22-0.6</f>
        <v>-0.6</v>
      </c>
      <c r="C22" s="116">
        <f>2*'Исх данные'!Q22</f>
        <v>0</v>
      </c>
      <c r="D22" s="116">
        <f>IF('Исх данные'!G22&lt;250,0,IF('Исх данные'!G22&gt;=250,0.33*'Исх данные'!G22-43.6,))</f>
        <v>0</v>
      </c>
      <c r="E22" s="116">
        <f>IF('Исх данные'!G22&lt;250,0,'Исх данные'!Q22*2)</f>
        <v>0</v>
      </c>
      <c r="F22" s="116">
        <f>0.67*'Исх данные'!G22-43.6</f>
        <v>-43.6</v>
      </c>
      <c r="G22" s="116">
        <f>'Исх данные'!Q22*2</f>
        <v>0</v>
      </c>
      <c r="H22" s="116">
        <f>'Исх данные'!Q22</f>
        <v>0</v>
      </c>
      <c r="I22" s="116">
        <f>'Исх данные'!Q22</f>
        <v>0</v>
      </c>
      <c r="J22" s="116">
        <f>IF('Исх данные'!H22&lt;=600,0,(IF('Исх данные'!H22&gt;600,1*'Исх данные'!Q22)))</f>
        <v>0</v>
      </c>
      <c r="K22" s="116">
        <f>'Исх данные'!Q22</f>
        <v>0</v>
      </c>
      <c r="L22" s="116">
        <f>IF('Исх данные'!H22&lt;=250,0,(IF('Исх данные'!H22&lt;=650,1*'Исх данные'!Q22,(IF('Исх данные'!H22&gt;650,2*'Исх данные'!Q22,)))))</f>
        <v>0</v>
      </c>
      <c r="M22" s="116">
        <f>IF('Исх данные'!G22&gt;=800,'Исх данные'!Q22*4,IF('Исх данные'!H22&gt;=800,'Исх данные'!Q22*4,0))</f>
        <v>0</v>
      </c>
      <c r="N22" s="69">
        <f t="shared" si="0"/>
        <v>0</v>
      </c>
      <c r="O22" s="69">
        <f t="shared" si="2"/>
        <v>0</v>
      </c>
      <c r="P22" s="69"/>
      <c r="Q22" s="69">
        <f t="shared" si="1"/>
        <v>0</v>
      </c>
      <c r="R22" s="69">
        <f t="shared" si="3"/>
        <v>0</v>
      </c>
      <c r="S22" s="69">
        <f>IF('Исх данные'!X22=1,'Исх данные'!G22,0)</f>
        <v>0</v>
      </c>
      <c r="T22" s="69">
        <f>IF('Исх данные'!C22=2,'Исх данные'!G22,IF('Исх данные'!C22=3,'Исх данные'!G22,0))</f>
        <v>0</v>
      </c>
      <c r="U22" s="69">
        <f>IF('Исх данные'!C22=3,'Исх данные'!G22,0)</f>
        <v>0</v>
      </c>
      <c r="V22" s="69">
        <f>IF('Исх данные'!X22=1,'Исх данные'!G22,IF('Исх данные'!C22=2,'Исх данные'!G22,IF('Исх данные'!C22=3,'Исх данные'!G22,IF('Исх данные'!C22=3,'Исх данные'!G22,0))))</f>
        <v>0</v>
      </c>
      <c r="Y22" s="69" t="str">
        <f>IF(B22&gt;0,IF(AND('Исх данные'!C22=1,'Исх данные'!V22=1),'Исх данные'!Q22*2,IF(AND('Исх данные'!C22=1,'Исх данные'!V22=2),'Исх данные'!Q22*2*2,0)),"---")</f>
        <v>---</v>
      </c>
      <c r="Z22" s="69" t="str">
        <f>IF(B22&gt;0,IF(AND('Исх данные'!C22=2,'Исх данные'!V22=0),'Исх данные'!Q22*2,IF(AND('Исх данные'!C22=2,'Исх данные'!V22=2),'Исх данные'!Q22*2*2,0)),"---")</f>
        <v>---</v>
      </c>
      <c r="AA22" s="69" t="str">
        <f>IF(B22&gt;0,IF('Исх данные'!C22=3,'Исх данные'!Q22*2*2,0),"---")</f>
        <v>---</v>
      </c>
      <c r="AB22" s="69" t="str">
        <f>IF('Исх данные'!C22=1,IF(OR('Исх данные'!S22=1,'Исх данные'!T22=1,'Исх данные'!V22),IF(('Исх данные'!G22/Ножницы!E22)*0.5&gt;=150,"07.239.06.00.000",IF(('Исх данные'!G22/Ножницы!E22)*0.5&lt;150,"07.087.04.00.000","/")),0),"КПУ1")</f>
        <v>КПУ1</v>
      </c>
      <c r="AC22" t="str">
        <f>IF('Исх данные'!C22=2,IF(AND('Исх данные'!S22=0, 'Исх данные'!T22=0,'Исх данные'!V22=0),"07.239.05.00.000",IF(OR('Исх данные'!S22=1, 'Исх данные'!T22=1,'Исх данные'!V22=1,'Исх данные'!V22=2),IF(('Исх данные'!G22/Ножницы!E22)*0.5&gt;=150,"07.239.06.00.022",IF(('Исх данные'!G22/Ножницы!E22)*0.5&lt;150,"07.087.04.00.000",0)),"/")),"КПУ2")</f>
        <v>КПУ2</v>
      </c>
      <c r="AD22" t="str">
        <f>IF('Исх данные'!C22=3,"07.239.07.00.000","КПУ3")</f>
        <v>КПУ3</v>
      </c>
      <c r="AG22" s="61"/>
      <c r="AH22" s="61"/>
      <c r="AI22" s="61"/>
      <c r="AJ22" s="61"/>
      <c r="AK22" s="61"/>
      <c r="AL22" s="61"/>
      <c r="AM22" s="61"/>
      <c r="AN22" s="61"/>
      <c r="AO22" s="61"/>
    </row>
    <row r="23" spans="1:41">
      <c r="A23" s="61">
        <f>'Исх данные'!A23</f>
        <v>0</v>
      </c>
      <c r="B23" s="116">
        <f>'Исх данные'!H23-0.6</f>
        <v>-0.6</v>
      </c>
      <c r="C23" s="116">
        <f>2*'Исх данные'!Q23</f>
        <v>0</v>
      </c>
      <c r="D23" s="116">
        <f>IF('Исх данные'!G23&lt;250,0,IF('Исх данные'!G23&gt;=250,0.33*'Исх данные'!G23-43.6,))</f>
        <v>0</v>
      </c>
      <c r="E23" s="116">
        <f>IF('Исх данные'!G23&lt;250,0,'Исх данные'!Q23*2)</f>
        <v>0</v>
      </c>
      <c r="F23" s="116">
        <f>0.67*'Исх данные'!G23-43.6</f>
        <v>-43.6</v>
      </c>
      <c r="G23" s="116">
        <f>'Исх данные'!Q23*2</f>
        <v>0</v>
      </c>
      <c r="H23" s="116">
        <f>'Исх данные'!Q23</f>
        <v>0</v>
      </c>
      <c r="I23" s="116">
        <f>'Исх данные'!Q23</f>
        <v>0</v>
      </c>
      <c r="J23" s="116">
        <f>IF('Исх данные'!H23&lt;=600,0,(IF('Исх данные'!H23&gt;600,1*'Исх данные'!Q23)))</f>
        <v>0</v>
      </c>
      <c r="K23" s="116">
        <f>'Исх данные'!Q23</f>
        <v>0</v>
      </c>
      <c r="L23" s="116">
        <f>IF('Исх данные'!H23&lt;=250,0,(IF('Исх данные'!H23&lt;=650,1*'Исх данные'!Q23,(IF('Исх данные'!H23&gt;650,2*'Исх данные'!Q23,)))))</f>
        <v>0</v>
      </c>
      <c r="M23" s="116">
        <f>IF('Исх данные'!G23&gt;=800,'Исх данные'!Q23*4,IF('Исх данные'!H23&gt;=800,'Исх данные'!Q23*4,0))</f>
        <v>0</v>
      </c>
      <c r="N23" s="69">
        <f t="shared" si="0"/>
        <v>0</v>
      </c>
      <c r="O23" s="69">
        <f t="shared" si="2"/>
        <v>0</v>
      </c>
      <c r="P23" s="69"/>
      <c r="Q23" s="69">
        <f t="shared" si="1"/>
        <v>0</v>
      </c>
      <c r="R23" s="69">
        <f t="shared" si="3"/>
        <v>0</v>
      </c>
      <c r="S23" s="69">
        <f>IF('Исх данные'!X23=1,'Исх данные'!G23,0)</f>
        <v>0</v>
      </c>
      <c r="T23" s="69">
        <f>IF('Исх данные'!C23=2,'Исх данные'!G23,IF('Исх данные'!C23=3,'Исх данные'!G23,0))</f>
        <v>0</v>
      </c>
      <c r="U23" s="69">
        <f>IF('Исх данные'!C23=3,'Исх данные'!G23,0)</f>
        <v>0</v>
      </c>
      <c r="V23" s="69">
        <f>IF('Исх данные'!X23=1,'Исх данные'!G23,IF('Исх данные'!C23=2,'Исх данные'!G23,IF('Исх данные'!C23=3,'Исх данные'!G23,IF('Исх данные'!C23=3,'Исх данные'!G23,0))))</f>
        <v>0</v>
      </c>
      <c r="Y23" s="69" t="str">
        <f>IF(B23&gt;0,IF(AND('Исх данные'!C23=1,'Исх данные'!V23=1),'Исх данные'!Q23*2,IF(AND('Исх данные'!C23=1,'Исх данные'!V23=2),'Исх данные'!Q23*2*2,0)),"---")</f>
        <v>---</v>
      </c>
      <c r="Z23" s="69" t="str">
        <f>IF(B23&gt;0,IF(AND('Исх данные'!C23=2,'Исх данные'!V23=0),'Исх данные'!Q23*2,IF(AND('Исх данные'!C23=2,'Исх данные'!V23=2),'Исх данные'!Q23*2*2,0)),"---")</f>
        <v>---</v>
      </c>
      <c r="AA23" s="69" t="str">
        <f>IF(B23&gt;0,IF('Исх данные'!C23=3,'Исх данные'!Q23*2*2,0),"---")</f>
        <v>---</v>
      </c>
      <c r="AB23" s="69" t="str">
        <f>IF('Исх данные'!C23=1,IF(OR('Исх данные'!S23=1,'Исх данные'!T23=1,'Исх данные'!V23),IF(('Исх данные'!G23/Ножницы!E23)*0.5&gt;=150,"07.239.06.00.000",IF(('Исх данные'!G23/Ножницы!E23)*0.5&lt;150,"07.087.04.00.000","/")),0),"КПУ1")</f>
        <v>КПУ1</v>
      </c>
      <c r="AC23" t="str">
        <f>IF('Исх данные'!C23=2,IF(AND('Исх данные'!S23=0, 'Исх данные'!T23=0,'Исх данные'!V23=0),"07.239.05.00.000",IF(OR('Исх данные'!S23=1, 'Исх данные'!T23=1,'Исх данные'!V23=1,'Исх данные'!V23=2),IF(('Исх данные'!G23/Ножницы!E23)*0.5&gt;=150,"07.239.06.00.022",IF(('Исх данные'!G23/Ножницы!E23)*0.5&lt;150,"07.087.04.00.000",0)),"/")),"КПУ2")</f>
        <v>КПУ2</v>
      </c>
      <c r="AD23" t="str">
        <f>IF('Исх данные'!C23=3,"07.239.07.00.000","КПУ3")</f>
        <v>КПУ3</v>
      </c>
      <c r="AG23" s="61"/>
      <c r="AH23" s="61"/>
      <c r="AI23" s="61"/>
      <c r="AJ23" s="61"/>
      <c r="AK23" s="61"/>
      <c r="AL23" s="61"/>
      <c r="AM23" s="61"/>
      <c r="AN23" s="61"/>
      <c r="AO23" s="61"/>
    </row>
    <row r="24" spans="1:41">
      <c r="A24" s="61">
        <f>'Исх данные'!A24</f>
        <v>0</v>
      </c>
      <c r="B24" s="116">
        <f>'Исх данные'!H24-0.6</f>
        <v>-0.6</v>
      </c>
      <c r="C24" s="116">
        <f>2*'Исх данные'!Q24</f>
        <v>0</v>
      </c>
      <c r="D24" s="116">
        <f>IF('Исх данные'!G24&lt;250,0,IF('Исх данные'!G24&gt;=250,0.33*'Исх данные'!G24-43.6,))</f>
        <v>0</v>
      </c>
      <c r="E24" s="116">
        <f>IF('Исх данные'!G24&lt;250,0,'Исх данные'!Q24*2)</f>
        <v>0</v>
      </c>
      <c r="F24" s="116">
        <f>0.67*'Исх данные'!G24-43.6</f>
        <v>-43.6</v>
      </c>
      <c r="G24" s="116">
        <f>'Исх данные'!Q24*2</f>
        <v>0</v>
      </c>
      <c r="H24" s="116">
        <f>'Исх данные'!Q24</f>
        <v>0</v>
      </c>
      <c r="I24" s="116">
        <f>'Исх данные'!Q24</f>
        <v>0</v>
      </c>
      <c r="J24" s="116">
        <f>IF('Исх данные'!H24&lt;=600,0,(IF('Исх данные'!H24&gt;600,1*'Исх данные'!Q24)))</f>
        <v>0</v>
      </c>
      <c r="K24" s="116">
        <f>'Исх данные'!Q24</f>
        <v>0</v>
      </c>
      <c r="L24" s="116">
        <f>IF('Исх данные'!H24&lt;=250,0,(IF('Исх данные'!H24&lt;=650,1*'Исх данные'!Q24,(IF('Исх данные'!H24&gt;650,2*'Исх данные'!Q24,)))))</f>
        <v>0</v>
      </c>
      <c r="M24" s="116">
        <f>IF('Исх данные'!G24&gt;=800,'Исх данные'!Q24*4,IF('Исх данные'!H24&gt;=800,'Исх данные'!Q24*4,0))</f>
        <v>0</v>
      </c>
      <c r="N24" s="69">
        <f t="shared" si="0"/>
        <v>0</v>
      </c>
      <c r="O24" s="69">
        <f t="shared" si="2"/>
        <v>0</v>
      </c>
      <c r="P24" s="69"/>
      <c r="Q24" s="69">
        <f t="shared" si="1"/>
        <v>0</v>
      </c>
      <c r="R24" s="69">
        <f t="shared" si="3"/>
        <v>0</v>
      </c>
      <c r="S24" s="69">
        <f>IF('Исх данные'!X24=1,'Исх данные'!G24,0)</f>
        <v>0</v>
      </c>
      <c r="T24" s="69">
        <f>IF('Исх данные'!C24=2,'Исх данные'!G24,IF('Исх данные'!C24=3,'Исх данные'!G24,0))</f>
        <v>0</v>
      </c>
      <c r="U24" s="69">
        <f>IF('Исх данные'!C24=3,'Исх данные'!G24,0)</f>
        <v>0</v>
      </c>
      <c r="V24" s="69">
        <f>IF('Исх данные'!X24=1,'Исх данные'!G24,IF('Исх данные'!C24=2,'Исх данные'!G24,IF('Исх данные'!C24=3,'Исх данные'!G24,IF('Исх данные'!C24=3,'Исх данные'!G24,0))))</f>
        <v>0</v>
      </c>
      <c r="Y24" s="69" t="str">
        <f>IF(B24&gt;0,IF(AND('Исх данные'!C24=1,'Исх данные'!V24=1),'Исх данные'!Q24*2,IF(AND('Исх данные'!C24=1,'Исх данные'!V24=2),'Исх данные'!Q24*2*2,0)),"---")</f>
        <v>---</v>
      </c>
      <c r="Z24" s="69" t="str">
        <f>IF(B24&gt;0,IF(AND('Исх данные'!C24=2,'Исх данные'!V24=0),'Исх данные'!Q24*2,IF(AND('Исх данные'!C24=2,'Исх данные'!V24=2),'Исх данные'!Q24*2*2,0)),"---")</f>
        <v>---</v>
      </c>
      <c r="AA24" s="69" t="str">
        <f>IF(B24&gt;0,IF('Исх данные'!C24=3,'Исх данные'!Q24*2*2,0),"---")</f>
        <v>---</v>
      </c>
      <c r="AB24" s="69" t="str">
        <f>IF('Исх данные'!C24=1,IF(OR('Исх данные'!S24=1,'Исх данные'!T24=1,'Исх данные'!V24),IF(('Исх данные'!G24/Ножницы!E24)*0.5&gt;=150,"07.239.06.00.000",IF(('Исх данные'!G24/Ножницы!E24)*0.5&lt;150,"07.087.04.00.000","/")),0),"КПУ1")</f>
        <v>КПУ1</v>
      </c>
      <c r="AC24" t="str">
        <f>IF('Исх данные'!C24=2,IF(AND('Исх данные'!S24=0, 'Исх данные'!T24=0,'Исх данные'!V24=0),"07.239.05.00.000",IF(OR('Исх данные'!S24=1, 'Исх данные'!T24=1,'Исх данные'!V24=1,'Исх данные'!V24=2),IF(('Исх данные'!G24/Ножницы!E24)*0.5&gt;=150,"07.239.06.00.022",IF(('Исх данные'!G24/Ножницы!E24)*0.5&lt;150,"07.087.04.00.000",0)),"/")),"КПУ2")</f>
        <v>КПУ2</v>
      </c>
      <c r="AD24" t="str">
        <f>IF('Исх данные'!C24=3,"07.239.07.00.000","КПУ3")</f>
        <v>КПУ3</v>
      </c>
      <c r="AG24" s="61"/>
      <c r="AH24" s="61"/>
      <c r="AI24" s="61"/>
      <c r="AJ24" s="61"/>
      <c r="AK24" s="61"/>
      <c r="AL24" s="61"/>
      <c r="AM24" s="61"/>
      <c r="AN24" s="61"/>
      <c r="AO24" s="61"/>
    </row>
    <row r="25" spans="1:41">
      <c r="A25" s="61">
        <f>'Исх данные'!A25</f>
        <v>0</v>
      </c>
      <c r="B25" s="116">
        <f>'Исх данные'!H25-0.6</f>
        <v>-0.6</v>
      </c>
      <c r="C25" s="116">
        <f>2*'Исх данные'!Q25</f>
        <v>0</v>
      </c>
      <c r="D25" s="116">
        <f>IF('Исх данные'!G25&lt;250,0,IF('Исх данные'!G25&gt;=250,0.33*'Исх данные'!G25-43.6,))</f>
        <v>0</v>
      </c>
      <c r="E25" s="116">
        <f>IF('Исх данные'!G25&lt;250,0,'Исх данные'!Q25*2)</f>
        <v>0</v>
      </c>
      <c r="F25" s="116">
        <f>0.67*'Исх данные'!G25-43.6</f>
        <v>-43.6</v>
      </c>
      <c r="G25" s="116">
        <f>'Исх данные'!Q25*2</f>
        <v>0</v>
      </c>
      <c r="H25" s="116">
        <f>'Исх данные'!Q25</f>
        <v>0</v>
      </c>
      <c r="I25" s="116">
        <f>'Исх данные'!Q25</f>
        <v>0</v>
      </c>
      <c r="J25" s="116">
        <f>IF('Исх данные'!H25&lt;=600,0,(IF('Исх данные'!H25&gt;600,1*'Исх данные'!Q25)))</f>
        <v>0</v>
      </c>
      <c r="K25" s="116">
        <f>'Исх данные'!Q25</f>
        <v>0</v>
      </c>
      <c r="L25" s="116">
        <f>IF('Исх данные'!H25&lt;=250,0,(IF('Исх данные'!H25&lt;=650,1*'Исх данные'!Q25,(IF('Исх данные'!H25&gt;650,2*'Исх данные'!Q25,)))))</f>
        <v>0</v>
      </c>
      <c r="M25" s="116">
        <f>IF('Исх данные'!G25&gt;=800,'Исх данные'!Q25*4,IF('Исх данные'!H25&gt;=800,'Исх данные'!Q25*4,0))</f>
        <v>0</v>
      </c>
      <c r="N25" s="69">
        <f t="shared" si="0"/>
        <v>0</v>
      </c>
      <c r="O25" s="69">
        <f t="shared" si="2"/>
        <v>0</v>
      </c>
      <c r="P25" s="69"/>
      <c r="Q25" s="69">
        <f t="shared" si="1"/>
        <v>0</v>
      </c>
      <c r="R25" s="69">
        <f t="shared" si="3"/>
        <v>0</v>
      </c>
      <c r="S25" s="69">
        <f>IF('Исх данные'!X25=1,'Исх данные'!G25,0)</f>
        <v>0</v>
      </c>
      <c r="T25" s="69">
        <f>IF('Исх данные'!C25=2,'Исх данные'!G25,IF('Исх данные'!C25=3,'Исх данные'!G25,0))</f>
        <v>0</v>
      </c>
      <c r="U25" s="69">
        <f>IF('Исх данные'!C25=3,'Исх данные'!G25,0)</f>
        <v>0</v>
      </c>
      <c r="V25" s="69">
        <f>IF('Исх данные'!X25=1,'Исх данные'!G25,IF('Исх данные'!C25=2,'Исх данные'!G25,IF('Исх данные'!C25=3,'Исх данные'!G25,IF('Исх данные'!C25=3,'Исх данные'!G25,0))))</f>
        <v>0</v>
      </c>
      <c r="Y25" s="69" t="str">
        <f>IF(B25&gt;0,IF(AND('Исх данные'!C25=1,'Исх данные'!V25=1),'Исх данные'!Q25*2,IF(AND('Исх данные'!C25=1,'Исх данные'!V25=2),'Исх данные'!Q25*2*2,0)),"---")</f>
        <v>---</v>
      </c>
      <c r="Z25" s="69" t="str">
        <f>IF(B25&gt;0,IF(AND('Исх данные'!C25=2,'Исх данные'!V25=0),'Исх данные'!Q25*2,IF(AND('Исх данные'!C25=2,'Исх данные'!V25=2),'Исх данные'!Q25*2*2,0)),"---")</f>
        <v>---</v>
      </c>
      <c r="AA25" s="69" t="str">
        <f>IF(B25&gt;0,IF('Исх данные'!C25=3,'Исх данные'!Q25*2*2,0),"---")</f>
        <v>---</v>
      </c>
      <c r="AB25" s="69" t="str">
        <f>IF('Исх данные'!C25=1,IF(OR('Исх данные'!S25=1,'Исх данные'!T25=1,'Исх данные'!V25),IF(('Исх данные'!G25/Ножницы!E25)*0.5&gt;=150,"07.239.06.00.000",IF(('Исх данные'!G25/Ножницы!E25)*0.5&lt;150,"07.087.04.00.000","/")),0),"КПУ1")</f>
        <v>КПУ1</v>
      </c>
      <c r="AC25" t="str">
        <f>IF('Исх данные'!C25=2,IF(AND('Исх данные'!S25=0, 'Исх данные'!T25=0,'Исх данные'!V25=0),"07.239.05.00.000",IF(OR('Исх данные'!S25=1, 'Исх данные'!T25=1,'Исх данные'!V25=1,'Исх данные'!V25=2),IF(('Исх данные'!G25/Ножницы!E25)*0.5&gt;=150,"07.239.06.00.022",IF(('Исх данные'!G25/Ножницы!E25)*0.5&lt;150,"07.087.04.00.000",0)),"/")),"КПУ2")</f>
        <v>КПУ2</v>
      </c>
      <c r="AD25" t="str">
        <f>IF('Исх данные'!C25=3,"07.239.07.00.000","КПУ3")</f>
        <v>КПУ3</v>
      </c>
      <c r="AG25" s="61"/>
      <c r="AH25" s="61"/>
      <c r="AI25" s="61"/>
      <c r="AJ25" s="61"/>
      <c r="AK25" s="61"/>
      <c r="AL25" s="61"/>
      <c r="AM25" s="61"/>
      <c r="AN25" s="61"/>
      <c r="AO25" s="61"/>
    </row>
    <row r="26" spans="1:41">
      <c r="A26" s="61">
        <f>'Исх данные'!A26</f>
        <v>0</v>
      </c>
      <c r="B26" s="116">
        <f>'Исх данные'!H26-0.6</f>
        <v>-0.6</v>
      </c>
      <c r="C26" s="116">
        <f>2*'Исх данные'!Q26</f>
        <v>0</v>
      </c>
      <c r="D26" s="116">
        <f>IF('Исх данные'!G26&lt;250,0,IF('Исх данные'!G26&gt;=250,0.33*'Исх данные'!G26-43.6,))</f>
        <v>0</v>
      </c>
      <c r="E26" s="116">
        <f>IF('Исх данные'!G26&lt;250,0,'Исх данные'!Q26*2)</f>
        <v>0</v>
      </c>
      <c r="F26" s="116">
        <f>0.67*'Исх данные'!G26-43.6</f>
        <v>-43.6</v>
      </c>
      <c r="G26" s="116">
        <f>'Исх данные'!Q26*2</f>
        <v>0</v>
      </c>
      <c r="H26" s="116">
        <f>'Исх данные'!Q26</f>
        <v>0</v>
      </c>
      <c r="I26" s="116">
        <f>'Исх данные'!Q26</f>
        <v>0</v>
      </c>
      <c r="J26" s="116">
        <f>IF('Исх данные'!H26&lt;=600,0,(IF('Исх данные'!H26&gt;600,1*'Исх данные'!Q26)))</f>
        <v>0</v>
      </c>
      <c r="K26" s="116">
        <f>'Исх данные'!Q26</f>
        <v>0</v>
      </c>
      <c r="L26" s="116">
        <f>IF('Исх данные'!H26&lt;=250,0,(IF('Исх данные'!H26&lt;=650,1*'Исх данные'!Q26,(IF('Исх данные'!H26&gt;650,2*'Исх данные'!Q26,)))))</f>
        <v>0</v>
      </c>
      <c r="M26" s="116">
        <f>IF('Исх данные'!G26&gt;=800,'Исх данные'!Q26*4,IF('Исх данные'!H26&gt;=800,'Исх данные'!Q26*4,0))</f>
        <v>0</v>
      </c>
      <c r="N26" s="69">
        <f t="shared" si="0"/>
        <v>0</v>
      </c>
      <c r="O26" s="69">
        <f t="shared" si="2"/>
        <v>0</v>
      </c>
      <c r="P26" s="69"/>
      <c r="Q26" s="69">
        <f t="shared" si="1"/>
        <v>0</v>
      </c>
      <c r="R26" s="69">
        <f t="shared" si="3"/>
        <v>0</v>
      </c>
      <c r="S26" s="69">
        <f>IF('Исх данные'!X26=1,'Исх данные'!G26,0)</f>
        <v>0</v>
      </c>
      <c r="T26" s="69">
        <f>IF('Исх данные'!C26=2,'Исх данные'!G26,IF('Исх данные'!C26=3,'Исх данные'!G26,0))</f>
        <v>0</v>
      </c>
      <c r="U26" s="69">
        <f>IF('Исх данные'!C26=3,'Исх данные'!G26,0)</f>
        <v>0</v>
      </c>
      <c r="V26" s="69">
        <f>IF('Исх данные'!X26=1,'Исх данные'!G26,IF('Исх данные'!C26=2,'Исх данные'!G26,IF('Исх данные'!C26=3,'Исх данные'!G26,IF('Исх данные'!C26=3,'Исх данные'!G26,0))))</f>
        <v>0</v>
      </c>
      <c r="Y26" s="69" t="str">
        <f>IF(B26&gt;0,IF(AND('Исх данные'!C26=1,'Исх данные'!V26=1),'Исх данные'!Q26*2,IF(AND('Исх данные'!C26=1,'Исх данные'!V26=2),'Исх данные'!Q26*2*2,0)),"---")</f>
        <v>---</v>
      </c>
      <c r="Z26" s="69" t="str">
        <f>IF(B26&gt;0,IF(AND('Исх данные'!C26=2,'Исх данные'!V26=0),'Исх данные'!Q26*2,IF(AND('Исх данные'!C26=2,'Исх данные'!V26=2),'Исх данные'!Q26*2*2,0)),"---")</f>
        <v>---</v>
      </c>
      <c r="AA26" s="69" t="str">
        <f>IF(B26&gt;0,IF('Исх данные'!C26=3,'Исх данные'!Q26*2*2,0),"---")</f>
        <v>---</v>
      </c>
      <c r="AB26" s="69" t="str">
        <f>IF('Исх данные'!C26=1,IF(OR('Исх данные'!S26=1,'Исх данные'!T26=1,'Исх данные'!V26),IF(('Исх данные'!G26/Ножницы!E26)*0.5&gt;=150,"07.239.06.00.000",IF(('Исх данные'!G26/Ножницы!E26)*0.5&lt;150,"07.087.04.00.000","/")),0),"КПУ1")</f>
        <v>КПУ1</v>
      </c>
      <c r="AC26" t="str">
        <f>IF('Исх данные'!C26=2,IF(AND('Исх данные'!S26=0, 'Исх данные'!T26=0,'Исх данные'!V26=0),"07.239.05.00.000",IF(OR('Исх данные'!S26=1, 'Исх данные'!T26=1,'Исх данные'!V26=1,'Исх данные'!V26=2),IF(('Исх данные'!G26/Ножницы!E26)*0.5&gt;=150,"07.239.06.00.022",IF(('Исх данные'!G26/Ножницы!E26)*0.5&lt;150,"07.087.04.00.000",0)),"/")),"КПУ2")</f>
        <v>КПУ2</v>
      </c>
      <c r="AD26" t="str">
        <f>IF('Исх данные'!C26=3,"07.239.07.00.000","КПУ3")</f>
        <v>КПУ3</v>
      </c>
      <c r="AG26" s="61"/>
      <c r="AH26" s="61"/>
      <c r="AI26" s="61"/>
      <c r="AJ26" s="61"/>
      <c r="AK26" s="61"/>
      <c r="AL26" s="61"/>
      <c r="AM26" s="61"/>
      <c r="AN26" s="61"/>
      <c r="AO26" s="61"/>
    </row>
    <row r="27" spans="1:41" ht="15.75" thickBot="1">
      <c r="A27" s="61">
        <f>'Исх данные'!A27</f>
        <v>0</v>
      </c>
      <c r="B27" s="116">
        <f>'Исх данные'!H27-0.6</f>
        <v>-0.6</v>
      </c>
      <c r="C27" s="116">
        <f>2*'Исх данные'!Q27</f>
        <v>0</v>
      </c>
      <c r="D27" s="116">
        <f>IF('Исх данные'!G27&lt;250,0,IF('Исх данные'!G27&gt;=250,0.33*'Исх данные'!G27-43.6,))</f>
        <v>0</v>
      </c>
      <c r="E27" s="116">
        <f>IF('Исх данные'!G27&lt;250,0,'Исх данные'!Q27*2)</f>
        <v>0</v>
      </c>
      <c r="F27" s="116">
        <f>0.67*'Исх данные'!G27-43.6</f>
        <v>-43.6</v>
      </c>
      <c r="G27" s="116">
        <f>'Исх данные'!Q27*2</f>
        <v>0</v>
      </c>
      <c r="H27" s="116">
        <f>'Исх данные'!Q27</f>
        <v>0</v>
      </c>
      <c r="I27" s="116">
        <f>'Исх данные'!Q27</f>
        <v>0</v>
      </c>
      <c r="J27" s="116">
        <f>IF('Исх данные'!H27&lt;=600,0,(IF('Исх данные'!H27&gt;600,1*'Исх данные'!Q27)))</f>
        <v>0</v>
      </c>
      <c r="K27" s="116">
        <f>'Исх данные'!Q27</f>
        <v>0</v>
      </c>
      <c r="L27" s="116">
        <f>IF('Исх данные'!H27&lt;=250,0,(IF('Исх данные'!H27&lt;=650,1*'Исх данные'!Q27,(IF('Исх данные'!H27&gt;650,2*'Исх данные'!Q27,)))))</f>
        <v>0</v>
      </c>
      <c r="M27" s="116">
        <f>IF('Исх данные'!G27&gt;=800,'Исх данные'!Q27*4,IF('Исх данные'!H27&gt;=800,'Исх данные'!Q27*4,0))</f>
        <v>0</v>
      </c>
      <c r="N27" s="69">
        <f t="shared" si="0"/>
        <v>0</v>
      </c>
      <c r="O27" s="69">
        <f t="shared" si="2"/>
        <v>0</v>
      </c>
      <c r="P27" s="69"/>
      <c r="Q27" s="69">
        <f t="shared" si="1"/>
        <v>0</v>
      </c>
      <c r="R27" s="69">
        <f t="shared" si="3"/>
        <v>0</v>
      </c>
      <c r="S27" s="69">
        <f>IF('Исх данные'!X27=1,'Исх данные'!G27,0)</f>
        <v>0</v>
      </c>
      <c r="T27" s="69">
        <f>IF('Исх данные'!C27=2,'Исх данные'!G27,IF('Исх данные'!C27=3,'Исх данные'!G27,0))</f>
        <v>0</v>
      </c>
      <c r="U27" s="69">
        <f>IF('Исх данные'!C27=3,'Исх данные'!G27,0)</f>
        <v>0</v>
      </c>
      <c r="V27" s="69">
        <f>IF('Исх данные'!X27=1,'Исх данные'!G27,IF('Исх данные'!C27=2,'Исх данные'!G27,IF('Исх данные'!C27=3,'Исх данные'!G27,IF('Исх данные'!C27=3,'Исх данные'!G27,0))))</f>
        <v>0</v>
      </c>
      <c r="Y27" s="69" t="str">
        <f>IF(B27&gt;0,IF(AND('Исх данные'!C27=1,'Исх данные'!V27=1),'Исх данные'!Q27*2,IF(AND('Исх данные'!C27=1,'Исх данные'!V27=2),'Исх данные'!Q27*2*2,0)),"---")</f>
        <v>---</v>
      </c>
      <c r="Z27" s="69" t="str">
        <f>IF(B27&gt;0,IF(AND('Исх данные'!C27=2,'Исх данные'!V27=0),'Исх данные'!Q27*2,IF(AND('Исх данные'!C27=2,'Исх данные'!V27=2),'Исх данные'!Q27*2*2,0)),"---")</f>
        <v>---</v>
      </c>
      <c r="AA27" s="69" t="str">
        <f>IF(B27&gt;0,IF('Исх данные'!C27=3,'Исх данные'!Q27*2*2,0),"---")</f>
        <v>---</v>
      </c>
      <c r="AB27" s="69" t="str">
        <f>IF('Исх данные'!C27=1,IF(OR('Исх данные'!S27=1,'Исх данные'!T27=1,'Исх данные'!V27),IF(('Исх данные'!G27/Ножницы!E27)*0.5&gt;=150,"07.239.06.00.000",IF(('Исх данные'!G27/Ножницы!E27)*0.5&lt;150,"07.087.04.00.000","/")),0),"КПУ1")</f>
        <v>КПУ1</v>
      </c>
      <c r="AC27" t="str">
        <f>IF('Исх данные'!C27=2,IF(AND('Исх данные'!S27=0, 'Исх данные'!T27=0,'Исх данные'!V27=0),"07.239.05.00.000",IF(OR('Исх данные'!S27=1, 'Исх данные'!T27=1,'Исх данные'!V27=1,'Исх данные'!V27=2),IF(('Исх данные'!G27/Ножницы!E27)*0.5&gt;=150,"07.239.06.00.022",IF(('Исх данные'!G27/Ножницы!E27)*0.5&lt;150,"07.087.04.00.000",0)),"/")),"КПУ2")</f>
        <v>КПУ2</v>
      </c>
      <c r="AD27" t="str">
        <f>IF('Исх данные'!C27=3,"07.239.07.00.000","КПУ3")</f>
        <v>КПУ3</v>
      </c>
      <c r="AG27" s="120"/>
      <c r="AH27" s="120"/>
      <c r="AI27" s="120"/>
      <c r="AJ27" s="120"/>
      <c r="AK27" s="120"/>
      <c r="AL27" s="120"/>
      <c r="AM27" s="120"/>
      <c r="AN27" s="120"/>
      <c r="AO27" s="120"/>
    </row>
    <row r="28" spans="1:41" ht="15.75" thickBot="1">
      <c r="A28" s="64"/>
      <c r="B28" s="64"/>
      <c r="C28" s="118"/>
      <c r="D28" s="118"/>
      <c r="E28" s="118"/>
      <c r="F28" s="118"/>
      <c r="G28" s="118"/>
      <c r="H28" s="118"/>
      <c r="I28" s="118"/>
      <c r="J28" s="119"/>
      <c r="K28" s="119"/>
      <c r="L28" s="119"/>
      <c r="M28" s="119"/>
      <c r="O28" s="69"/>
      <c r="P28" s="69"/>
      <c r="AF28" s="121"/>
      <c r="AG28" s="122"/>
      <c r="AH28" s="122"/>
      <c r="AI28" s="122"/>
      <c r="AJ28" s="123"/>
      <c r="AK28" s="123"/>
      <c r="AL28" s="123"/>
      <c r="AM28" s="123"/>
      <c r="AN28" s="122"/>
      <c r="AO28" s="124"/>
    </row>
    <row r="29" spans="1:41">
      <c r="A29" s="64"/>
      <c r="B29" s="64" t="s">
        <v>25</v>
      </c>
      <c r="C29" s="64"/>
      <c r="D29" s="64"/>
      <c r="E29" s="64"/>
      <c r="F29" s="64"/>
      <c r="G29" s="64"/>
      <c r="H29" s="64"/>
      <c r="I29" s="64"/>
    </row>
    <row r="30" spans="1:41" ht="15.75" thickBot="1">
      <c r="A30" s="64"/>
      <c r="B30" s="64"/>
      <c r="C30" s="64"/>
      <c r="D30" s="64"/>
      <c r="E30" s="64"/>
      <c r="F30" s="64"/>
      <c r="G30" s="64"/>
      <c r="H30" s="64"/>
      <c r="I30" s="64"/>
    </row>
    <row r="31" spans="1:41" ht="15.75" thickBot="1">
      <c r="A31" s="64"/>
      <c r="B31" s="64" t="s">
        <v>2</v>
      </c>
      <c r="C31" s="64"/>
      <c r="D31" s="64"/>
      <c r="E31" s="127">
        <f>AO28+AN28+AM28+AL28+AK28+AJ28+AI28+AH28+AG28</f>
        <v>0</v>
      </c>
      <c r="F31" s="64"/>
      <c r="G31" s="64"/>
      <c r="H31" s="64"/>
      <c r="I31" s="64"/>
    </row>
    <row r="32" spans="1:41">
      <c r="A32" s="64"/>
      <c r="B32" s="64"/>
      <c r="C32" s="64"/>
      <c r="D32" s="64"/>
      <c r="E32" s="64"/>
      <c r="F32" s="64"/>
      <c r="G32" s="64"/>
      <c r="H32" s="64"/>
      <c r="I32" s="64"/>
    </row>
    <row r="33" spans="1:19" ht="21">
      <c r="A33" s="64"/>
      <c r="B33" s="65" t="s">
        <v>49</v>
      </c>
      <c r="C33" s="65"/>
      <c r="D33" s="65"/>
      <c r="E33" s="65"/>
      <c r="F33" s="65"/>
      <c r="G33" s="65"/>
      <c r="H33" s="65"/>
      <c r="I33" s="65"/>
      <c r="S33" s="69"/>
    </row>
    <row r="34" spans="1:19" ht="18.75">
      <c r="A34" s="64"/>
      <c r="B34" s="66" t="s">
        <v>45</v>
      </c>
      <c r="C34" s="66"/>
      <c r="D34" s="66"/>
      <c r="E34" s="66"/>
      <c r="F34" s="66"/>
      <c r="G34" s="66"/>
      <c r="H34" s="66">
        <f>'Исх данные'!H6</f>
        <v>0</v>
      </c>
      <c r="I34" s="66"/>
    </row>
    <row r="35" spans="1:19" ht="18.75">
      <c r="A35" s="64"/>
      <c r="B35" s="66" t="s">
        <v>60</v>
      </c>
      <c r="C35" s="66"/>
      <c r="D35" s="66"/>
      <c r="E35" s="64"/>
      <c r="F35" s="64"/>
      <c r="G35" s="64"/>
      <c r="H35" s="64"/>
      <c r="I35" s="64"/>
    </row>
    <row r="36" spans="1:19">
      <c r="A36" s="64"/>
      <c r="B36" s="64" t="s">
        <v>50</v>
      </c>
      <c r="C36" s="64"/>
      <c r="D36" s="64"/>
      <c r="E36" s="64"/>
      <c r="F36" s="64"/>
      <c r="G36" s="64"/>
      <c r="H36" s="64"/>
      <c r="I36" s="64"/>
    </row>
    <row r="37" spans="1:19">
      <c r="A37" s="64"/>
      <c r="B37" s="64"/>
      <c r="C37" s="64"/>
      <c r="D37" s="64"/>
      <c r="E37" s="64"/>
      <c r="F37" s="64"/>
      <c r="G37" s="64"/>
      <c r="H37" s="64"/>
      <c r="I37" s="64"/>
    </row>
    <row r="38" spans="1:19">
      <c r="A38" s="64"/>
      <c r="B38" s="64" t="s">
        <v>51</v>
      </c>
      <c r="C38" s="64"/>
      <c r="D38" s="64"/>
      <c r="E38" s="64"/>
      <c r="F38" s="64"/>
      <c r="G38" s="64"/>
      <c r="H38" s="64"/>
      <c r="I38" s="64"/>
    </row>
    <row r="39" spans="1:19">
      <c r="A39" s="64"/>
      <c r="B39" s="64"/>
      <c r="C39" s="64"/>
      <c r="D39" s="64"/>
      <c r="E39" s="64"/>
      <c r="F39" s="64"/>
      <c r="G39" s="64"/>
      <c r="H39" s="64"/>
      <c r="I39" s="64"/>
    </row>
    <row r="40" spans="1:19">
      <c r="A40" s="64"/>
      <c r="B40" s="64" t="s">
        <v>53</v>
      </c>
      <c r="C40" s="64"/>
      <c r="D40" s="64"/>
      <c r="E40" s="64"/>
      <c r="F40" s="64"/>
      <c r="G40" s="64"/>
      <c r="H40" s="64"/>
      <c r="I40" s="64"/>
    </row>
    <row r="41" spans="1:19">
      <c r="A41" s="64"/>
      <c r="B41" s="64"/>
      <c r="C41" s="64"/>
      <c r="D41" s="64"/>
      <c r="E41" s="64"/>
      <c r="F41" s="64"/>
      <c r="G41" s="64"/>
      <c r="H41" s="64"/>
      <c r="I41" s="64"/>
    </row>
    <row r="42" spans="1:19">
      <c r="A42" s="64"/>
      <c r="B42" s="64" t="s">
        <v>54</v>
      </c>
      <c r="C42" s="64"/>
      <c r="D42" s="64"/>
      <c r="E42" s="64"/>
      <c r="F42" s="64"/>
      <c r="G42" s="64"/>
      <c r="H42" s="64"/>
      <c r="I42" s="64"/>
    </row>
    <row r="43" spans="1:19">
      <c r="A43" s="64"/>
      <c r="B43" s="64"/>
      <c r="C43" s="64"/>
      <c r="D43" s="64"/>
      <c r="E43" s="64"/>
      <c r="F43" s="64"/>
      <c r="G43" s="64"/>
      <c r="H43" s="64"/>
      <c r="I43" s="64"/>
    </row>
  </sheetData>
  <mergeCells count="4">
    <mergeCell ref="B7:G7"/>
    <mergeCell ref="H7:I7"/>
    <mergeCell ref="J7:L7"/>
    <mergeCell ref="AG7:AO7"/>
  </mergeCells>
  <printOptions horizontalCentered="1"/>
  <pageMargins left="3.937007874015748E-2" right="3.937007874015748E-2" top="3.937007874015748E-2" bottom="3.937007874015748E-2" header="0.31496062992125984" footer="0.31496062992125984"/>
  <pageSetup paperSize="9" scale="6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3"/>
  <sheetViews>
    <sheetView workbookViewId="0">
      <selection activeCell="A5" sqref="A5"/>
    </sheetView>
  </sheetViews>
  <sheetFormatPr defaultRowHeight="15"/>
  <cols>
    <col min="1" max="1" width="11.5703125" customWidth="1"/>
    <col min="4" max="4" width="6.28515625" customWidth="1"/>
    <col min="5" max="5" width="12.140625" customWidth="1"/>
  </cols>
  <sheetData>
    <row r="1" spans="1:7">
      <c r="A1" t="s">
        <v>43</v>
      </c>
    </row>
    <row r="2" spans="1:7">
      <c r="F2" s="8" t="s">
        <v>97</v>
      </c>
    </row>
    <row r="3" spans="1:7" ht="21">
      <c r="A3" s="58" t="s">
        <v>46</v>
      </c>
      <c r="E3" s="58">
        <f>'Исх данные'!H6</f>
        <v>0</v>
      </c>
    </row>
    <row r="5" spans="1:7" ht="18.75">
      <c r="A5" s="106" t="s">
        <v>55</v>
      </c>
      <c r="D5" s="63">
        <f>'Исх данные'!B9</f>
        <v>0</v>
      </c>
      <c r="E5" s="63">
        <f>'Исх данные'!C9</f>
        <v>0</v>
      </c>
      <c r="F5" s="63">
        <f>'Исх данные'!D9</f>
        <v>0</v>
      </c>
    </row>
    <row r="7" spans="1:7" s="56" customFormat="1">
      <c r="A7" s="59"/>
      <c r="B7" s="247"/>
      <c r="C7" s="247"/>
      <c r="D7" s="59"/>
      <c r="E7" s="247"/>
      <c r="F7" s="247"/>
      <c r="G7" s="59"/>
    </row>
    <row r="8" spans="1:7" s="56" customFormat="1" ht="30">
      <c r="A8" s="59"/>
      <c r="B8" s="59" t="s">
        <v>56</v>
      </c>
      <c r="C8" s="59" t="s">
        <v>57</v>
      </c>
      <c r="D8" s="59" t="s">
        <v>0</v>
      </c>
      <c r="E8" s="60"/>
      <c r="F8" s="251" t="s">
        <v>94</v>
      </c>
      <c r="G8" s="253" t="s">
        <v>95</v>
      </c>
    </row>
    <row r="9" spans="1:7">
      <c r="A9" s="61">
        <f>'Исх данные'!A9</f>
        <v>0</v>
      </c>
      <c r="B9" s="62">
        <f>IF('Исх данные'!S9=1,'Исх данные'!G9,"---")</f>
        <v>0</v>
      </c>
      <c r="C9" s="62">
        <f>IF('Исх данные'!S9=1,'Исх данные'!H9,"---")</f>
        <v>0</v>
      </c>
      <c r="D9" s="62">
        <f>IF('Исх данные'!S9=1,'Исх данные'!Q9,"---")</f>
        <v>0</v>
      </c>
      <c r="E9" s="62" t="str">
        <f>IF('Исх данные'!S9=1,"сетка",0)</f>
        <v>сетка</v>
      </c>
      <c r="F9" s="252"/>
      <c r="G9" s="254"/>
    </row>
    <row r="10" spans="1:7">
      <c r="A10" s="61">
        <f>'Исх данные'!A10</f>
        <v>0</v>
      </c>
      <c r="B10" s="62">
        <f>IF('Исх данные'!S10=1,'Исх данные'!G10,"---")</f>
        <v>0</v>
      </c>
      <c r="C10" s="62">
        <f>IF('Исх данные'!S10=1,'Исх данные'!H10,"---")</f>
        <v>0</v>
      </c>
      <c r="D10" s="62">
        <f>IF('Исх данные'!S10=1,'Исх данные'!Q10,"---")</f>
        <v>0</v>
      </c>
      <c r="E10" s="62" t="str">
        <f>IF('Исх данные'!S10=1,"сетка",0)</f>
        <v>сетка</v>
      </c>
      <c r="F10" s="62"/>
      <c r="G10" s="61"/>
    </row>
    <row r="11" spans="1:7">
      <c r="A11" s="61">
        <f>'Исх данные'!A11</f>
        <v>0</v>
      </c>
      <c r="B11" s="62">
        <f>IF('Исх данные'!S11=1,'Исх данные'!G11,"---")</f>
        <v>0</v>
      </c>
      <c r="C11" s="62">
        <f>IF('Исх данные'!S11=1,'Исх данные'!H11,"---")</f>
        <v>0</v>
      </c>
      <c r="D11" s="62">
        <f>IF('Исх данные'!S11=1,'Исх данные'!Q11,"---")</f>
        <v>0</v>
      </c>
      <c r="E11" s="62" t="str">
        <f>IF('Исх данные'!S11=1,"сетка",0)</f>
        <v>сетка</v>
      </c>
      <c r="F11" s="62"/>
      <c r="G11" s="61"/>
    </row>
    <row r="12" spans="1:7">
      <c r="A12" s="61">
        <f>'Исх данные'!A12</f>
        <v>0</v>
      </c>
      <c r="B12" s="62">
        <f>IF('Исх данные'!S12=1,'Исх данные'!G12,"---")</f>
        <v>0</v>
      </c>
      <c r="C12" s="62">
        <f>IF('Исх данные'!S12=1,'Исх данные'!H12,"---")</f>
        <v>0</v>
      </c>
      <c r="D12" s="62">
        <f>IF('Исх данные'!S12=1,'Исх данные'!Q12,"---")</f>
        <v>0</v>
      </c>
      <c r="E12" s="62" t="str">
        <f>IF('Исх данные'!S12=1,"сетка",0)</f>
        <v>сетка</v>
      </c>
      <c r="F12" s="62"/>
      <c r="G12" s="61"/>
    </row>
    <row r="13" spans="1:7">
      <c r="A13" s="61">
        <f>'Исх данные'!A13</f>
        <v>0</v>
      </c>
      <c r="B13" s="62">
        <f>IF('Исх данные'!S13=1,'Исх данные'!G13,"---")</f>
        <v>0</v>
      </c>
      <c r="C13" s="62">
        <f>IF('Исх данные'!S13=1,'Исх данные'!H13,"---")</f>
        <v>0</v>
      </c>
      <c r="D13" s="62">
        <f>IF('Исх данные'!S13=1,'Исх данные'!Q13,"---")</f>
        <v>0</v>
      </c>
      <c r="E13" s="62" t="str">
        <f>IF('Исх данные'!S13=1,"сетка",0)</f>
        <v>сетка</v>
      </c>
      <c r="F13" s="62"/>
      <c r="G13" s="61"/>
    </row>
    <row r="14" spans="1:7">
      <c r="A14" s="61">
        <f>'Исх данные'!A14</f>
        <v>0</v>
      </c>
      <c r="B14" s="62">
        <f>IF('Исх данные'!S14=1,'Исх данные'!G14,"---")</f>
        <v>0</v>
      </c>
      <c r="C14" s="62">
        <f>IF('Исх данные'!S14=1,'Исх данные'!H14,"---")</f>
        <v>0</v>
      </c>
      <c r="D14" s="62">
        <f>IF('Исх данные'!S14=1,'Исх данные'!Q14,"---")</f>
        <v>0</v>
      </c>
      <c r="E14" s="62" t="str">
        <f>IF('Исх данные'!S14=1,"сетка",0)</f>
        <v>сетка</v>
      </c>
      <c r="F14" s="62"/>
      <c r="G14" s="61"/>
    </row>
    <row r="15" spans="1:7">
      <c r="A15" s="61">
        <f>'Исх данные'!A15</f>
        <v>0</v>
      </c>
      <c r="B15" s="62">
        <f>IF('Исх данные'!S15=1,'Исх данные'!G15,"---")</f>
        <v>0</v>
      </c>
      <c r="C15" s="62">
        <f>IF('Исх данные'!S15=1,'Исх данные'!H15,"---")</f>
        <v>0</v>
      </c>
      <c r="D15" s="62">
        <f>IF('Исх данные'!S15=1,'Исх данные'!Q15,"---")</f>
        <v>0</v>
      </c>
      <c r="E15" s="62" t="str">
        <f>IF('Исх данные'!S15=1,"сетка",0)</f>
        <v>сетка</v>
      </c>
      <c r="F15" s="62"/>
      <c r="G15" s="61"/>
    </row>
    <row r="16" spans="1:7">
      <c r="A16" s="61">
        <f>'Исх данные'!A16</f>
        <v>0</v>
      </c>
      <c r="B16" s="62">
        <f>IF('Исх данные'!S16=1,'Исх данные'!G16,"---")</f>
        <v>0</v>
      </c>
      <c r="C16" s="62">
        <f>IF('Исх данные'!S16=1,'Исх данные'!H16,"---")</f>
        <v>0</v>
      </c>
      <c r="D16" s="62">
        <f>IF('Исх данные'!S16=1,'Исх данные'!Q16,"---")</f>
        <v>0</v>
      </c>
      <c r="E16" s="62" t="str">
        <f>IF('Исх данные'!S16=1,"сетка",0)</f>
        <v>сетка</v>
      </c>
      <c r="F16" s="62"/>
      <c r="G16" s="61"/>
    </row>
    <row r="17" spans="1:7">
      <c r="A17" s="61">
        <f>'Исх данные'!A17</f>
        <v>0</v>
      </c>
      <c r="B17" s="62">
        <f>IF('Исх данные'!S17=1,'Исх данные'!G17,"---")</f>
        <v>0</v>
      </c>
      <c r="C17" s="62">
        <f>IF('Исх данные'!S17=1,'Исх данные'!H17,"---")</f>
        <v>0</v>
      </c>
      <c r="D17" s="62">
        <f>IF('Исх данные'!S17=1,'Исх данные'!Q17,"---")</f>
        <v>0</v>
      </c>
      <c r="E17" s="62" t="str">
        <f>IF('Исх данные'!S17=1,"сетка",0)</f>
        <v>сетка</v>
      </c>
      <c r="F17" s="62"/>
      <c r="G17" s="61"/>
    </row>
    <row r="18" spans="1:7">
      <c r="A18" s="61">
        <f>'Исх данные'!A18</f>
        <v>0</v>
      </c>
      <c r="B18" s="62">
        <f>IF('Исх данные'!S18=1,'Исх данные'!G18,"---")</f>
        <v>0</v>
      </c>
      <c r="C18" s="62">
        <f>IF('Исх данные'!S18=1,'Исх данные'!H18,"---")</f>
        <v>0</v>
      </c>
      <c r="D18" s="62">
        <f>IF('Исх данные'!S18=1,'Исх данные'!Q18,"---")</f>
        <v>0</v>
      </c>
      <c r="E18" s="62" t="str">
        <f>IF('Исх данные'!S18=1,"сетка",0)</f>
        <v>сетка</v>
      </c>
      <c r="F18" s="62"/>
      <c r="G18" s="61"/>
    </row>
    <row r="19" spans="1:7">
      <c r="A19" s="61">
        <f>'Исх данные'!A19</f>
        <v>0</v>
      </c>
      <c r="B19" s="62">
        <f>IF('Исх данные'!S19=1,'Исх данные'!G19,"---")</f>
        <v>0</v>
      </c>
      <c r="C19" s="62">
        <f>IF('Исх данные'!S19=1,'Исх данные'!H19,"---")</f>
        <v>0</v>
      </c>
      <c r="D19" s="62">
        <f>IF('Исх данные'!S19=1,'Исх данные'!Q19,"---")</f>
        <v>0</v>
      </c>
      <c r="E19" s="62" t="str">
        <f>IF('Исх данные'!S19=1,"сетка",0)</f>
        <v>сетка</v>
      </c>
      <c r="F19" s="62"/>
      <c r="G19" s="61"/>
    </row>
    <row r="20" spans="1:7">
      <c r="A20" s="61">
        <f>'Исх данные'!A20</f>
        <v>0</v>
      </c>
      <c r="B20" s="62">
        <f>IF('Исх данные'!S20=1,'Исх данные'!G20,"---")</f>
        <v>0</v>
      </c>
      <c r="C20" s="62">
        <f>IF('Исх данные'!S20=1,'Исх данные'!H20,"---")</f>
        <v>0</v>
      </c>
      <c r="D20" s="62">
        <f>IF('Исх данные'!S20=1,'Исх данные'!Q20,"---")</f>
        <v>0</v>
      </c>
      <c r="E20" s="62" t="str">
        <f>IF('Исх данные'!S20=1,"сетка",0)</f>
        <v>сетка</v>
      </c>
      <c r="F20" s="62"/>
      <c r="G20" s="61"/>
    </row>
    <row r="21" spans="1:7">
      <c r="A21" s="61">
        <f>'Исх данные'!A21</f>
        <v>0</v>
      </c>
      <c r="B21" s="62">
        <f>IF('Исх данные'!S21=1,'Исх данные'!G21,"---")</f>
        <v>0</v>
      </c>
      <c r="C21" s="62">
        <f>IF('Исх данные'!S21=1,'Исх данные'!H21,"---")</f>
        <v>0</v>
      </c>
      <c r="D21" s="62">
        <f>IF('Исх данные'!S21=1,'Исх данные'!Q21,"---")</f>
        <v>0</v>
      </c>
      <c r="E21" s="62" t="str">
        <f>IF('Исх данные'!S21=1,"сетка",0)</f>
        <v>сетка</v>
      </c>
      <c r="F21" s="62"/>
      <c r="G21" s="61"/>
    </row>
    <row r="22" spans="1:7">
      <c r="A22" s="61">
        <f>'Исх данные'!A22</f>
        <v>0</v>
      </c>
      <c r="B22" s="62">
        <f>IF('Исх данные'!S22=1,'Исх данные'!G22,"---")</f>
        <v>0</v>
      </c>
      <c r="C22" s="62">
        <f>IF('Исх данные'!S22=1,'Исх данные'!H22,"---")</f>
        <v>0</v>
      </c>
      <c r="D22" s="62">
        <f>IF('Исх данные'!S22=1,'Исх данные'!Q22,"---")</f>
        <v>0</v>
      </c>
      <c r="E22" s="62" t="str">
        <f>IF('Исх данные'!S22=1,"сетка",0)</f>
        <v>сетка</v>
      </c>
      <c r="F22" s="62"/>
      <c r="G22" s="61"/>
    </row>
    <row r="23" spans="1:7">
      <c r="A23" s="61">
        <f>'Исх данные'!A23</f>
        <v>0</v>
      </c>
      <c r="B23" s="62">
        <f>IF('Исх данные'!S23=1,'Исх данные'!G23,"---")</f>
        <v>0</v>
      </c>
      <c r="C23" s="62">
        <f>IF('Исх данные'!S23=1,'Исх данные'!H23,"---")</f>
        <v>0</v>
      </c>
      <c r="D23" s="62">
        <f>IF('Исх данные'!S23=1,'Исх данные'!Q23,"---")</f>
        <v>0</v>
      </c>
      <c r="E23" s="62" t="str">
        <f>IF('Исх данные'!S23=1,"сетка",0)</f>
        <v>сетка</v>
      </c>
      <c r="F23" s="62"/>
      <c r="G23" s="61"/>
    </row>
    <row r="24" spans="1:7">
      <c r="A24" s="61">
        <f>'Исх данные'!A24</f>
        <v>0</v>
      </c>
      <c r="B24" s="62">
        <f>IF('Исх данные'!S24=1,'Исх данные'!G24,"---")</f>
        <v>0</v>
      </c>
      <c r="C24" s="62">
        <f>IF('Исх данные'!S24=1,'Исх данные'!H24,"---")</f>
        <v>0</v>
      </c>
      <c r="D24" s="62">
        <f>IF('Исх данные'!S24=1,'Исх данные'!Q24,"---")</f>
        <v>0</v>
      </c>
      <c r="E24" s="62" t="str">
        <f>IF('Исх данные'!S24=1,"сетка",0)</f>
        <v>сетка</v>
      </c>
      <c r="F24" s="62"/>
      <c r="G24" s="61"/>
    </row>
    <row r="25" spans="1:7">
      <c r="A25" s="61">
        <f>'Исх данные'!A25</f>
        <v>0</v>
      </c>
      <c r="B25" s="62">
        <f>IF('Исх данные'!S25=1,'Исх данные'!G25,"---")</f>
        <v>0</v>
      </c>
      <c r="C25" s="62">
        <f>IF('Исх данные'!S25=1,'Исх данные'!H25,"---")</f>
        <v>0</v>
      </c>
      <c r="D25" s="62">
        <f>IF('Исх данные'!S25=1,'Исх данные'!Q25,"---")</f>
        <v>0</v>
      </c>
      <c r="E25" s="62" t="str">
        <f>IF('Исх данные'!S25=1,"сетка",0)</f>
        <v>сетка</v>
      </c>
      <c r="F25" s="62"/>
      <c r="G25" s="61"/>
    </row>
    <row r="26" spans="1:7">
      <c r="A26" s="61">
        <f>'Исх данные'!A26</f>
        <v>0</v>
      </c>
      <c r="B26" s="62">
        <f>IF('Исх данные'!S26=1,'Исх данные'!G26,"---")</f>
        <v>0</v>
      </c>
      <c r="C26" s="62">
        <f>IF('Исх данные'!S26=1,'Исх данные'!H26,"---")</f>
        <v>0</v>
      </c>
      <c r="D26" s="62">
        <f>IF('Исх данные'!S26=1,'Исх данные'!Q26,"---")</f>
        <v>0</v>
      </c>
      <c r="E26" s="62" t="str">
        <f>IF('Исх данные'!S26=1,"сетка",0)</f>
        <v>сетка</v>
      </c>
      <c r="F26" s="62"/>
      <c r="G26" s="61"/>
    </row>
    <row r="27" spans="1:7">
      <c r="A27" s="61">
        <f>'Исх данные'!A26</f>
        <v>0</v>
      </c>
      <c r="B27" s="62">
        <f>IF('Исх данные'!S27=1,'Исх данные'!G27,"---")</f>
        <v>0</v>
      </c>
      <c r="C27" s="62">
        <f>IF('Исх данные'!S27=1,'Исх данные'!H27,"---")</f>
        <v>0</v>
      </c>
      <c r="D27" s="62">
        <f>IF('Исх данные'!S27=1,'Исх данные'!Q27,"---")</f>
        <v>0</v>
      </c>
      <c r="E27" s="62" t="str">
        <f>IF('Исх данные'!S27=1,"сетка",0)</f>
        <v>сетка</v>
      </c>
      <c r="F27" s="62"/>
      <c r="G27" s="61"/>
    </row>
    <row r="28" spans="1:7">
      <c r="A28" s="64"/>
      <c r="B28" s="64"/>
      <c r="C28" s="64"/>
      <c r="D28" s="64"/>
      <c r="E28" s="64"/>
      <c r="F28" s="101"/>
      <c r="G28" s="102"/>
    </row>
    <row r="29" spans="1:7">
      <c r="A29" s="64"/>
      <c r="B29" s="64" t="s">
        <v>25</v>
      </c>
      <c r="C29" s="64" t="s">
        <v>48</v>
      </c>
      <c r="D29" s="64"/>
      <c r="E29" s="64"/>
    </row>
    <row r="30" spans="1:7">
      <c r="A30" s="64"/>
      <c r="B30" s="64"/>
      <c r="C30" s="64"/>
      <c r="D30" s="64"/>
      <c r="E30" s="64"/>
    </row>
    <row r="31" spans="1:7">
      <c r="A31" s="64"/>
      <c r="B31" s="64" t="s">
        <v>2</v>
      </c>
      <c r="C31" s="64">
        <v>0</v>
      </c>
      <c r="D31" s="64"/>
      <c r="E31" s="64"/>
    </row>
    <row r="32" spans="1:7">
      <c r="A32" s="64"/>
      <c r="B32" s="64"/>
      <c r="C32" s="64"/>
      <c r="D32" s="64"/>
      <c r="E32" s="64"/>
    </row>
    <row r="33" spans="1:7" ht="21">
      <c r="A33" s="64"/>
      <c r="B33" s="65" t="s">
        <v>49</v>
      </c>
      <c r="C33" s="65"/>
      <c r="D33" s="65"/>
      <c r="E33" s="65"/>
      <c r="G33" s="8" t="s">
        <v>97</v>
      </c>
    </row>
    <row r="34" spans="1:7" ht="18.75">
      <c r="A34" s="64"/>
      <c r="B34" s="66" t="s">
        <v>45</v>
      </c>
      <c r="C34" s="66"/>
      <c r="D34" s="66"/>
      <c r="E34" s="66"/>
      <c r="F34" s="66">
        <f>'Исх данные'!H6</f>
        <v>0</v>
      </c>
    </row>
    <row r="35" spans="1:7" ht="18.75">
      <c r="A35" s="64"/>
      <c r="B35" s="66" t="s">
        <v>71</v>
      </c>
      <c r="C35" s="64"/>
      <c r="D35" s="64"/>
      <c r="E35" s="64"/>
    </row>
    <row r="36" spans="1:7">
      <c r="A36" s="64"/>
      <c r="B36" s="64" t="s">
        <v>50</v>
      </c>
      <c r="C36" s="64"/>
      <c r="D36" s="64"/>
      <c r="E36" s="64"/>
    </row>
    <row r="37" spans="1:7">
      <c r="A37" s="64"/>
      <c r="B37" s="64"/>
      <c r="C37" s="64"/>
      <c r="D37" s="64"/>
      <c r="E37" s="64"/>
    </row>
    <row r="38" spans="1:7">
      <c r="A38" s="64"/>
      <c r="B38" s="64" t="s">
        <v>51</v>
      </c>
      <c r="C38" s="64" t="s">
        <v>52</v>
      </c>
      <c r="D38" s="64"/>
      <c r="E38" s="64"/>
      <c r="F38" t="s">
        <v>101</v>
      </c>
    </row>
    <row r="39" spans="1:7">
      <c r="A39" s="64"/>
      <c r="B39" s="64"/>
      <c r="C39" s="64"/>
      <c r="D39" s="64"/>
      <c r="E39" s="64"/>
    </row>
    <row r="40" spans="1:7">
      <c r="A40" s="64"/>
      <c r="B40" s="64" t="s">
        <v>53</v>
      </c>
      <c r="C40" s="64"/>
      <c r="D40" s="64"/>
      <c r="E40" s="64"/>
      <c r="F40" t="s">
        <v>101</v>
      </c>
    </row>
    <row r="41" spans="1:7">
      <c r="A41" s="64"/>
      <c r="B41" s="64"/>
      <c r="C41" s="64"/>
      <c r="D41" s="64"/>
      <c r="E41" s="64"/>
    </row>
    <row r="42" spans="1:7">
      <c r="A42" s="64"/>
      <c r="B42" s="64" t="s">
        <v>54</v>
      </c>
      <c r="C42" s="64"/>
      <c r="D42" s="64"/>
      <c r="E42" s="64"/>
      <c r="F42" t="s">
        <v>101</v>
      </c>
    </row>
    <row r="43" spans="1:7">
      <c r="A43" s="64"/>
      <c r="B43" s="64"/>
      <c r="C43" s="64"/>
      <c r="D43" s="64"/>
      <c r="E43" s="64"/>
    </row>
  </sheetData>
  <mergeCells count="4">
    <mergeCell ref="B7:C7"/>
    <mergeCell ref="E7:F7"/>
    <mergeCell ref="F8:F9"/>
    <mergeCell ref="G8:G9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H31" sqref="H31"/>
    </sheetView>
  </sheetViews>
  <sheetFormatPr defaultRowHeight="15"/>
  <cols>
    <col min="1" max="1" width="11.5703125" customWidth="1"/>
    <col min="4" max="4" width="7.42578125" customWidth="1"/>
  </cols>
  <sheetData>
    <row r="1" spans="1:9">
      <c r="A1" t="s">
        <v>43</v>
      </c>
    </row>
    <row r="2" spans="1:9">
      <c r="G2" s="8" t="s">
        <v>98</v>
      </c>
      <c r="H2" s="8"/>
    </row>
    <row r="3" spans="1:9" ht="21">
      <c r="A3" s="58" t="s">
        <v>46</v>
      </c>
      <c r="E3" s="58">
        <f>'Исх данные'!H6</f>
        <v>0</v>
      </c>
    </row>
    <row r="5" spans="1:9" ht="18.75">
      <c r="A5" s="106" t="s">
        <v>59</v>
      </c>
      <c r="C5" s="63" t="s">
        <v>99</v>
      </c>
      <c r="D5" s="63"/>
      <c r="E5" s="63"/>
      <c r="F5" s="63"/>
    </row>
    <row r="6" spans="1:9">
      <c r="I6" t="s">
        <v>2</v>
      </c>
    </row>
    <row r="7" spans="1:9" s="56" customFormat="1">
      <c r="A7" s="59"/>
      <c r="B7" s="247">
        <f>'Исх данные'!P9</f>
        <v>0</v>
      </c>
      <c r="C7" s="247"/>
      <c r="D7" s="59"/>
      <c r="E7" s="247"/>
      <c r="F7" s="247"/>
      <c r="G7" s="59"/>
      <c r="H7" s="100"/>
      <c r="I7" s="56">
        <v>1.2E-2</v>
      </c>
    </row>
    <row r="8" spans="1:9" s="56" customFormat="1" ht="30">
      <c r="A8" s="59"/>
      <c r="B8" s="59" t="s">
        <v>56</v>
      </c>
      <c r="C8" s="59" t="s">
        <v>57</v>
      </c>
      <c r="D8" s="76" t="s">
        <v>77</v>
      </c>
      <c r="E8" s="60"/>
      <c r="F8" s="251" t="s">
        <v>94</v>
      </c>
      <c r="G8" s="253" t="s">
        <v>95</v>
      </c>
      <c r="H8" s="100"/>
    </row>
    <row r="9" spans="1:9">
      <c r="A9" s="61">
        <f>'Исх данные'!A9</f>
        <v>0</v>
      </c>
      <c r="B9" s="61">
        <f>IF('Исх данные'!U9=1,'Исх данные'!G9,"---")</f>
        <v>0</v>
      </c>
      <c r="C9" s="61">
        <f>IF('Исх данные'!U9=1,'Исх данные'!H9,"---")</f>
        <v>0</v>
      </c>
      <c r="D9" s="61">
        <f>IF('Исх данные'!U9=1,'Исх данные'!Q9,"---")</f>
        <v>0</v>
      </c>
      <c r="E9" s="62">
        <f>'Исх данные'!P9</f>
        <v>0</v>
      </c>
      <c r="F9" s="252"/>
      <c r="G9" s="254"/>
      <c r="H9" s="100"/>
      <c r="I9">
        <f>IF('Исх данные'!U9=1,'Исх данные'!Q9*4*$I$7,0)</f>
        <v>0</v>
      </c>
    </row>
    <row r="10" spans="1:9">
      <c r="A10" s="61">
        <f>'Исх данные'!A10</f>
        <v>0</v>
      </c>
      <c r="B10" s="61">
        <f>IF('Исх данные'!U10=1,'Исх данные'!G10,"---")</f>
        <v>0</v>
      </c>
      <c r="C10" s="61">
        <f>IF('Исх данные'!U10=1,'Исх данные'!H10,"---")</f>
        <v>0</v>
      </c>
      <c r="D10" s="61">
        <f>IF('Исх данные'!U10=1,'Исх данные'!Q10,"---")</f>
        <v>0</v>
      </c>
      <c r="E10" s="62">
        <f>'Исх данные'!P10</f>
        <v>0</v>
      </c>
      <c r="F10" s="62"/>
      <c r="G10" s="61"/>
      <c r="H10" s="102"/>
      <c r="I10">
        <f>IF('Исх данные'!U10=1,'Исх данные'!Q10*4*$I$7,0)</f>
        <v>0</v>
      </c>
    </row>
    <row r="11" spans="1:9">
      <c r="A11" s="61">
        <f>'Исх данные'!A11</f>
        <v>0</v>
      </c>
      <c r="B11" s="61">
        <f>IF('Исх данные'!U11=1,'Исх данные'!G11,"---")</f>
        <v>0</v>
      </c>
      <c r="C11" s="61">
        <f>IF('Исх данные'!U11=1,'Исх данные'!H11,"---")</f>
        <v>0</v>
      </c>
      <c r="D11" s="61">
        <f>IF('Исх данные'!U11=1,'Исх данные'!Q11,"---")</f>
        <v>0</v>
      </c>
      <c r="E11" s="62">
        <f>'Исх данные'!P11</f>
        <v>0</v>
      </c>
      <c r="F11" s="62"/>
      <c r="G11" s="61"/>
      <c r="H11" s="102"/>
      <c r="I11">
        <f>IF('Исх данные'!U11=1,'Исх данные'!Q11*4*$I$7,0)</f>
        <v>0</v>
      </c>
    </row>
    <row r="12" spans="1:9">
      <c r="A12" s="61">
        <f>'Исх данные'!A12</f>
        <v>0</v>
      </c>
      <c r="B12" s="61">
        <f>IF('Исх данные'!U12=1,'Исх данные'!G12,"---")</f>
        <v>0</v>
      </c>
      <c r="C12" s="61">
        <f>IF('Исх данные'!U12=1,'Исх данные'!H12,"---")</f>
        <v>0</v>
      </c>
      <c r="D12" s="61">
        <f>IF('Исх данные'!U12=1,'Исх данные'!Q12,"---")</f>
        <v>0</v>
      </c>
      <c r="E12" s="62">
        <f>'Исх данные'!P12</f>
        <v>0</v>
      </c>
      <c r="F12" s="62"/>
      <c r="G12" s="61"/>
      <c r="H12" s="102"/>
      <c r="I12">
        <f>IF('Исх данные'!U12=1,'Исх данные'!Q12*4*$I$7,0)</f>
        <v>0</v>
      </c>
    </row>
    <row r="13" spans="1:9">
      <c r="A13" s="61">
        <f>'Исх данные'!A13</f>
        <v>0</v>
      </c>
      <c r="B13" s="61">
        <f>IF('Исх данные'!U13=1,'Исх данные'!G13,"---")</f>
        <v>0</v>
      </c>
      <c r="C13" s="61">
        <f>IF('Исх данные'!U13=1,'Исх данные'!H13,"---")</f>
        <v>0</v>
      </c>
      <c r="D13" s="61">
        <f>IF('Исх данные'!U13=1,'Исх данные'!Q13,"---")</f>
        <v>0</v>
      </c>
      <c r="E13" s="62">
        <f>'Исх данные'!P13</f>
        <v>0</v>
      </c>
      <c r="F13" s="62"/>
      <c r="G13" s="61"/>
      <c r="H13" s="102"/>
      <c r="I13">
        <f>IF('Исх данные'!U13=1,'Исх данные'!Q13*4*$I$7,0)</f>
        <v>0</v>
      </c>
    </row>
    <row r="14" spans="1:9">
      <c r="A14" s="61">
        <f>'Исх данные'!A14</f>
        <v>0</v>
      </c>
      <c r="B14" s="61">
        <f>IF('Исх данные'!U14=1,'Исх данные'!G14,"---")</f>
        <v>0</v>
      </c>
      <c r="C14" s="61">
        <f>IF('Исх данные'!U14=1,'Исх данные'!H14,"---")</f>
        <v>0</v>
      </c>
      <c r="D14" s="61">
        <f>IF('Исх данные'!U14=1,'Исх данные'!Q14,"---")</f>
        <v>0</v>
      </c>
      <c r="E14" s="62">
        <f>'Исх данные'!P14</f>
        <v>0</v>
      </c>
      <c r="F14" s="62"/>
      <c r="G14" s="61"/>
      <c r="H14" s="102"/>
      <c r="I14">
        <f>IF('Исх данные'!U14=1,'Исх данные'!Q14*4*$I$7,0)</f>
        <v>0</v>
      </c>
    </row>
    <row r="15" spans="1:9">
      <c r="A15" s="61">
        <f>'Исх данные'!A15</f>
        <v>0</v>
      </c>
      <c r="B15" s="61">
        <f>IF('Исх данные'!U15=1,'Исх данные'!G15,"---")</f>
        <v>0</v>
      </c>
      <c r="C15" s="61">
        <f>IF('Исх данные'!U15=1,'Исх данные'!H15,"---")</f>
        <v>0</v>
      </c>
      <c r="D15" s="61">
        <f>IF('Исх данные'!U15=1,'Исх данные'!Q15,"---")</f>
        <v>0</v>
      </c>
      <c r="E15" s="62">
        <f>'Исх данные'!P15</f>
        <v>0</v>
      </c>
      <c r="F15" s="62"/>
      <c r="G15" s="61"/>
      <c r="H15" s="102"/>
      <c r="I15">
        <f>IF('Исх данные'!U15=1,'Исх данные'!Q15*4*$I$7,0)</f>
        <v>0</v>
      </c>
    </row>
    <row r="16" spans="1:9">
      <c r="A16" s="61">
        <f>'Исх данные'!A16</f>
        <v>0</v>
      </c>
      <c r="B16" s="61">
        <f>IF('Исх данные'!U16=1,'Исх данные'!G16,"---")</f>
        <v>0</v>
      </c>
      <c r="C16" s="61">
        <f>IF('Исх данные'!U16=1,'Исх данные'!H16,"---")</f>
        <v>0</v>
      </c>
      <c r="D16" s="61">
        <f>IF('Исх данные'!U16=1,'Исх данные'!Q16,"---")</f>
        <v>0</v>
      </c>
      <c r="E16" s="62">
        <f>'Исх данные'!P16</f>
        <v>0</v>
      </c>
      <c r="F16" s="62"/>
      <c r="G16" s="61"/>
      <c r="H16" s="102"/>
      <c r="I16">
        <f>IF('Исх данные'!U16=1,'Исх данные'!Q16*4*$I$7,0)</f>
        <v>0</v>
      </c>
    </row>
    <row r="17" spans="1:9">
      <c r="A17" s="61">
        <f>'Исх данные'!A17</f>
        <v>0</v>
      </c>
      <c r="B17" s="61">
        <f>IF('Исх данные'!U17=1,'Исх данные'!G17,"---")</f>
        <v>0</v>
      </c>
      <c r="C17" s="61">
        <f>IF('Исх данные'!U17=1,'Исх данные'!H17,"---")</f>
        <v>0</v>
      </c>
      <c r="D17" s="61">
        <f>IF('Исх данные'!U17=1,'Исх данные'!Q17,"---")</f>
        <v>0</v>
      </c>
      <c r="E17" s="62">
        <f>'Исх данные'!P17</f>
        <v>0</v>
      </c>
      <c r="F17" s="62"/>
      <c r="G17" s="61"/>
      <c r="H17" s="102"/>
      <c r="I17">
        <f>IF('Исх данные'!U17=1,'Исх данные'!Q17*4*$I$7,0)</f>
        <v>0</v>
      </c>
    </row>
    <row r="18" spans="1:9">
      <c r="A18" s="61">
        <f>'Исх данные'!A18</f>
        <v>0</v>
      </c>
      <c r="B18" s="61">
        <f>IF('Исх данные'!U18=1,'Исх данные'!G18,"---")</f>
        <v>0</v>
      </c>
      <c r="C18" s="61">
        <f>IF('Исх данные'!U18=1,'Исх данные'!H18,"---")</f>
        <v>0</v>
      </c>
      <c r="D18" s="61">
        <f>IF('Исх данные'!U18=1,'Исх данные'!Q18,"---")</f>
        <v>0</v>
      </c>
      <c r="E18" s="62">
        <f>'Исх данные'!P18</f>
        <v>0</v>
      </c>
      <c r="F18" s="62"/>
      <c r="G18" s="61"/>
      <c r="H18" s="102"/>
      <c r="I18">
        <f>IF('Исх данные'!U18=1,'Исх данные'!Q18*4*$I$7,0)</f>
        <v>0</v>
      </c>
    </row>
    <row r="19" spans="1:9">
      <c r="A19" s="61">
        <f>'Исх данные'!A19</f>
        <v>0</v>
      </c>
      <c r="B19" s="61">
        <f>IF('Исх данные'!U19=1,'Исх данные'!G19,"---")</f>
        <v>0</v>
      </c>
      <c r="C19" s="61">
        <f>IF('Исх данные'!U19=1,'Исх данные'!H19,"---")</f>
        <v>0</v>
      </c>
      <c r="D19" s="61">
        <f>IF('Исх данные'!U19=1,'Исх данные'!Q19,"---")</f>
        <v>0</v>
      </c>
      <c r="E19" s="62">
        <f>'Исх данные'!P19</f>
        <v>0</v>
      </c>
      <c r="F19" s="62"/>
      <c r="G19" s="61"/>
      <c r="H19" s="102"/>
      <c r="I19">
        <f>IF('Исх данные'!U19=1,'Исх данные'!Q19*4*$I$7,0)</f>
        <v>0</v>
      </c>
    </row>
    <row r="20" spans="1:9">
      <c r="A20" s="61">
        <f>'Исх данные'!A20</f>
        <v>0</v>
      </c>
      <c r="B20" s="61">
        <f>IF('Исх данные'!U20=1,'Исх данные'!G20,"---")</f>
        <v>0</v>
      </c>
      <c r="C20" s="61">
        <f>IF('Исх данные'!U20=1,'Исх данные'!H20,"---")</f>
        <v>0</v>
      </c>
      <c r="D20" s="61">
        <f>IF('Исх данные'!U20=1,'Исх данные'!Q20,"---")</f>
        <v>0</v>
      </c>
      <c r="E20" s="62">
        <f>'Исх данные'!P20</f>
        <v>0</v>
      </c>
      <c r="F20" s="62"/>
      <c r="G20" s="61"/>
      <c r="H20" s="102"/>
      <c r="I20">
        <f>IF('Исх данные'!U20=1,'Исх данные'!Q20*4*$I$7,0)</f>
        <v>0</v>
      </c>
    </row>
    <row r="21" spans="1:9">
      <c r="A21" s="61">
        <f>'Исх данные'!A21</f>
        <v>0</v>
      </c>
      <c r="B21" s="61">
        <f>IF('Исх данные'!U21=1,'Исх данные'!G21,"---")</f>
        <v>0</v>
      </c>
      <c r="C21" s="61">
        <f>IF('Исх данные'!U21=1,'Исх данные'!H21,"---")</f>
        <v>0</v>
      </c>
      <c r="D21" s="61">
        <f>IF('Исх данные'!U21=1,'Исх данные'!Q21,"---")</f>
        <v>0</v>
      </c>
      <c r="E21" s="62">
        <f>'Исх данные'!P21</f>
        <v>0</v>
      </c>
      <c r="F21" s="62"/>
      <c r="G21" s="61"/>
      <c r="H21" s="102"/>
      <c r="I21">
        <f>IF('Исх данные'!U21=1,'Исх данные'!Q21*4*$I$7,0)</f>
        <v>0</v>
      </c>
    </row>
    <row r="22" spans="1:9">
      <c r="A22" s="61">
        <f>'Исх данные'!A22</f>
        <v>0</v>
      </c>
      <c r="B22" s="61">
        <f>IF('Исх данные'!U22=1,'Исх данные'!G22,"---")</f>
        <v>0</v>
      </c>
      <c r="C22" s="61">
        <f>IF('Исх данные'!U22=1,'Исх данные'!H22,"---")</f>
        <v>0</v>
      </c>
      <c r="D22" s="61">
        <f>IF('Исх данные'!U22=1,'Исх данные'!Q22,"---")</f>
        <v>0</v>
      </c>
      <c r="E22" s="62">
        <f>'Исх данные'!P22</f>
        <v>0</v>
      </c>
      <c r="F22" s="62"/>
      <c r="G22" s="61"/>
      <c r="H22" s="102"/>
      <c r="I22">
        <f>IF('Исх данные'!U22=1,'Исх данные'!Q22*4*$I$7,0)</f>
        <v>0</v>
      </c>
    </row>
    <row r="23" spans="1:9">
      <c r="A23" s="61">
        <f>'Исх данные'!A23</f>
        <v>0</v>
      </c>
      <c r="B23" s="61">
        <f>IF('Исх данные'!U23=1,'Исх данные'!G23,"---")</f>
        <v>0</v>
      </c>
      <c r="C23" s="61">
        <f>IF('Исх данные'!U23=1,'Исх данные'!H23,"---")</f>
        <v>0</v>
      </c>
      <c r="D23" s="61">
        <f>IF('Исх данные'!U23=1,'Исх данные'!Q23,"---")</f>
        <v>0</v>
      </c>
      <c r="E23" s="62">
        <f>'Исх данные'!P23</f>
        <v>0</v>
      </c>
      <c r="F23" s="62"/>
      <c r="G23" s="61"/>
      <c r="H23" s="102"/>
      <c r="I23">
        <f>IF('Исх данные'!U23=1,'Исх данные'!Q23*4*$I$7,0)</f>
        <v>0</v>
      </c>
    </row>
    <row r="24" spans="1:9">
      <c r="A24" s="61">
        <f>'Исх данные'!A24</f>
        <v>0</v>
      </c>
      <c r="B24" s="61">
        <f>IF('Исх данные'!U24=1,'Исх данные'!G24,"---")</f>
        <v>0</v>
      </c>
      <c r="C24" s="61">
        <f>IF('Исх данные'!U24=1,'Исх данные'!H24,"---")</f>
        <v>0</v>
      </c>
      <c r="D24" s="61">
        <f>IF('Исх данные'!U24=1,'Исх данные'!Q24,"---")</f>
        <v>0</v>
      </c>
      <c r="E24" s="62">
        <f>'Исх данные'!P24</f>
        <v>0</v>
      </c>
      <c r="F24" s="62"/>
      <c r="G24" s="61"/>
      <c r="H24" s="102"/>
      <c r="I24">
        <f>IF('Исх данные'!U24=1,'Исх данные'!Q24*4*$I$7,0)</f>
        <v>0</v>
      </c>
    </row>
    <row r="25" spans="1:9">
      <c r="A25" s="61">
        <f>'Исх данные'!A25</f>
        <v>0</v>
      </c>
      <c r="B25" s="61">
        <f>IF('Исх данные'!U25=1,'Исх данные'!G25,"---")</f>
        <v>0</v>
      </c>
      <c r="C25" s="61">
        <f>IF('Исх данные'!U25=1,'Исх данные'!H25,"---")</f>
        <v>0</v>
      </c>
      <c r="D25" s="61">
        <f>IF('Исх данные'!U25=1,'Исх данные'!Q25,"---")</f>
        <v>0</v>
      </c>
      <c r="E25" s="62">
        <f>'Исх данные'!P25</f>
        <v>0</v>
      </c>
      <c r="F25" s="62"/>
      <c r="G25" s="61"/>
      <c r="H25" s="102"/>
      <c r="I25">
        <f>IF('Исх данные'!U25=1,'Исх данные'!Q25*4*$I$7,0)</f>
        <v>0</v>
      </c>
    </row>
    <row r="26" spans="1:9">
      <c r="A26" s="61">
        <f>'Исх данные'!A26</f>
        <v>0</v>
      </c>
      <c r="B26" s="61">
        <f>IF('Исх данные'!U26=1,'Исх данные'!G26,"---")</f>
        <v>0</v>
      </c>
      <c r="C26" s="61">
        <f>IF('Исх данные'!U26=1,'Исх данные'!H26,"---")</f>
        <v>0</v>
      </c>
      <c r="D26" s="61">
        <f>IF('Исх данные'!U26=1,'Исх данные'!Q26,"---")</f>
        <v>0</v>
      </c>
      <c r="E26" s="62">
        <f>'Исх данные'!P26</f>
        <v>0</v>
      </c>
      <c r="F26" s="62"/>
      <c r="G26" s="61"/>
      <c r="H26" s="102"/>
      <c r="I26">
        <f>IF('Исх данные'!U26=1,'Исх данные'!Q26*4*$I$7,0)</f>
        <v>0</v>
      </c>
    </row>
    <row r="27" spans="1:9">
      <c r="A27" s="61">
        <f>'Исх данные'!A27</f>
        <v>0</v>
      </c>
      <c r="B27" s="61">
        <f>IF('Исх данные'!U27=1,'Исх данные'!G27,"---")</f>
        <v>0</v>
      </c>
      <c r="C27" s="61">
        <f>IF('Исх данные'!U27=1,'Исх данные'!H27,"---")</f>
        <v>0</v>
      </c>
      <c r="D27" s="61">
        <f>IF('Исх данные'!U27=1,'Исх данные'!Q27,"---")</f>
        <v>0</v>
      </c>
      <c r="E27" s="62">
        <f>'Исх данные'!P27</f>
        <v>0</v>
      </c>
      <c r="F27" s="62"/>
      <c r="G27" s="61"/>
      <c r="H27" s="102"/>
      <c r="I27">
        <f>IF('Исх данные'!U27=1,'Исх данные'!Q27*4*$I$7,0)</f>
        <v>0</v>
      </c>
    </row>
    <row r="28" spans="1:9">
      <c r="A28" s="64"/>
      <c r="B28" s="64"/>
      <c r="C28" s="64"/>
      <c r="D28" s="64"/>
      <c r="E28" s="64"/>
    </row>
    <row r="29" spans="1:9">
      <c r="A29" s="64"/>
      <c r="B29" s="64" t="s">
        <v>25</v>
      </c>
      <c r="C29" s="64" t="s">
        <v>48</v>
      </c>
      <c r="D29" s="64"/>
      <c r="E29" s="64"/>
    </row>
    <row r="30" spans="1:9">
      <c r="A30" s="64"/>
      <c r="B30" s="64"/>
      <c r="C30" s="64"/>
      <c r="D30" s="64"/>
      <c r="E30" s="64"/>
    </row>
    <row r="31" spans="1:9">
      <c r="A31" s="64"/>
      <c r="B31" s="64" t="s">
        <v>2</v>
      </c>
      <c r="C31" s="64" t="s">
        <v>48</v>
      </c>
      <c r="D31" s="64"/>
      <c r="E31" s="64" t="s">
        <v>100</v>
      </c>
      <c r="F31">
        <f>SUM(I9:I27)</f>
        <v>0</v>
      </c>
    </row>
    <row r="32" spans="1:9">
      <c r="A32" s="64"/>
      <c r="B32" s="64"/>
      <c r="C32" s="64"/>
      <c r="D32" s="64"/>
      <c r="E32" s="64"/>
    </row>
    <row r="33" spans="1:7" ht="21">
      <c r="A33" s="64"/>
      <c r="B33" s="65" t="s">
        <v>49</v>
      </c>
      <c r="C33" s="65"/>
      <c r="D33" s="65"/>
      <c r="E33" s="65"/>
      <c r="G33" s="8" t="s">
        <v>98</v>
      </c>
    </row>
    <row r="34" spans="1:7" ht="18.75">
      <c r="A34" s="64"/>
      <c r="B34" s="66" t="s">
        <v>45</v>
      </c>
      <c r="C34" s="66"/>
      <c r="D34" s="66"/>
      <c r="E34" s="66"/>
      <c r="F34" s="66">
        <f>'Исх данные'!H6</f>
        <v>0</v>
      </c>
    </row>
    <row r="35" spans="1:7" ht="18.75">
      <c r="A35" s="64"/>
      <c r="B35" s="66" t="s">
        <v>70</v>
      </c>
      <c r="C35" s="64"/>
      <c r="D35" s="64"/>
      <c r="E35" s="64"/>
    </row>
    <row r="36" spans="1:7">
      <c r="A36" s="64"/>
      <c r="B36" s="64" t="s">
        <v>50</v>
      </c>
      <c r="C36" s="64"/>
      <c r="D36" s="64"/>
      <c r="E36" s="64"/>
    </row>
    <row r="37" spans="1:7">
      <c r="A37" s="64"/>
      <c r="B37" s="64"/>
      <c r="C37" s="64"/>
      <c r="D37" s="64"/>
      <c r="E37" s="64"/>
    </row>
    <row r="38" spans="1:7">
      <c r="A38" s="64"/>
      <c r="B38" s="64" t="s">
        <v>51</v>
      </c>
      <c r="C38" s="64" t="s">
        <v>52</v>
      </c>
      <c r="D38" s="64"/>
      <c r="E38" s="64"/>
      <c r="F38" t="s">
        <v>91</v>
      </c>
    </row>
    <row r="39" spans="1:7">
      <c r="A39" s="64"/>
      <c r="B39" s="64"/>
      <c r="C39" s="64"/>
      <c r="D39" s="64"/>
      <c r="E39" s="64"/>
    </row>
    <row r="40" spans="1:7">
      <c r="A40" s="64"/>
      <c r="B40" s="64" t="s">
        <v>53</v>
      </c>
      <c r="C40" s="64"/>
      <c r="D40" s="64"/>
      <c r="E40" s="64"/>
      <c r="F40" t="s">
        <v>91</v>
      </c>
    </row>
    <row r="41" spans="1:7">
      <c r="A41" s="64"/>
      <c r="B41" s="64"/>
      <c r="C41" s="64"/>
      <c r="D41" s="64"/>
      <c r="E41" s="64"/>
    </row>
    <row r="42" spans="1:7">
      <c r="A42" s="64"/>
      <c r="B42" s="64" t="s">
        <v>54</v>
      </c>
      <c r="C42" s="64"/>
      <c r="D42" s="64"/>
      <c r="E42" s="64"/>
      <c r="F42" t="s">
        <v>91</v>
      </c>
    </row>
    <row r="43" spans="1:7">
      <c r="A43" s="64"/>
      <c r="B43" s="64"/>
      <c r="C43" s="64"/>
      <c r="D43" s="64"/>
      <c r="E43" s="64"/>
    </row>
  </sheetData>
  <mergeCells count="4">
    <mergeCell ref="B7:C7"/>
    <mergeCell ref="E7:F7"/>
    <mergeCell ref="F8:F9"/>
    <mergeCell ref="G8:G9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67"/>
  <sheetViews>
    <sheetView topLeftCell="D1" zoomScale="150" workbookViewId="0">
      <selection sqref="A1:O50"/>
    </sheetView>
  </sheetViews>
  <sheetFormatPr defaultRowHeight="12.75"/>
  <cols>
    <col min="1" max="1" width="9.140625" style="8"/>
    <col min="2" max="2" width="7.7109375" style="8" customWidth="1"/>
    <col min="3" max="3" width="8.28515625" style="8" customWidth="1"/>
    <col min="4" max="4" width="9" style="8" customWidth="1"/>
    <col min="5" max="5" width="8.5703125" style="9" customWidth="1"/>
    <col min="6" max="6" width="10.85546875" style="8" customWidth="1"/>
    <col min="7" max="8" width="9" style="8" customWidth="1"/>
    <col min="9" max="9" width="7.85546875" style="8" customWidth="1"/>
    <col min="10" max="10" width="8" style="8" customWidth="1"/>
    <col min="11" max="12" width="7.5703125" style="8" customWidth="1"/>
    <col min="13" max="13" width="8.7109375" style="8" customWidth="1"/>
    <col min="14" max="14" width="9.42578125" style="8" customWidth="1"/>
    <col min="15" max="15" width="8.7109375" style="8" customWidth="1"/>
    <col min="16" max="16384" width="9.140625" style="8"/>
  </cols>
  <sheetData>
    <row r="1" spans="1:21">
      <c r="A1" s="8" t="s">
        <v>69</v>
      </c>
      <c r="D1" s="8">
        <f>'Исх данные'!H6</f>
        <v>0</v>
      </c>
      <c r="G1" s="8" t="s">
        <v>43</v>
      </c>
    </row>
    <row r="2" spans="1:21">
      <c r="B2" s="264"/>
      <c r="C2" s="264"/>
      <c r="D2" s="264"/>
      <c r="E2" s="264"/>
      <c r="F2" s="264"/>
      <c r="G2" s="49" t="s">
        <v>40</v>
      </c>
      <c r="H2" s="48"/>
      <c r="L2" s="8" t="s">
        <v>106</v>
      </c>
    </row>
    <row r="3" spans="1:21">
      <c r="B3" s="107" t="s">
        <v>39</v>
      </c>
      <c r="C3" s="108" t="s">
        <v>38</v>
      </c>
      <c r="D3" s="108"/>
      <c r="E3" s="109" t="s">
        <v>92</v>
      </c>
      <c r="F3" s="110"/>
    </row>
    <row r="4" spans="1:21">
      <c r="B4" s="111"/>
      <c r="C4" s="111"/>
      <c r="D4" s="111"/>
      <c r="E4" s="112"/>
      <c r="F4" s="111"/>
    </row>
    <row r="5" spans="1:21">
      <c r="B5" s="269" t="s">
        <v>90</v>
      </c>
      <c r="C5" s="269"/>
      <c r="D5" s="269"/>
      <c r="E5" s="269"/>
      <c r="F5" s="269"/>
    </row>
    <row r="6" spans="1:21">
      <c r="M6" s="46"/>
      <c r="N6" s="46"/>
      <c r="O6" s="46"/>
    </row>
    <row r="7" spans="1:21">
      <c r="A7" s="45" t="s">
        <v>37</v>
      </c>
      <c r="B7" s="272" t="s">
        <v>89</v>
      </c>
      <c r="C7" s="273"/>
      <c r="D7" s="276" t="s">
        <v>36</v>
      </c>
      <c r="E7" s="266" t="s">
        <v>35</v>
      </c>
      <c r="F7" s="266" t="s">
        <v>34</v>
      </c>
      <c r="G7" s="44"/>
      <c r="H7" s="44"/>
      <c r="I7" s="44"/>
      <c r="J7" s="43"/>
      <c r="K7" s="43"/>
      <c r="L7" s="43"/>
      <c r="P7" s="270" t="s">
        <v>25</v>
      </c>
      <c r="Q7" s="271"/>
      <c r="R7" s="271"/>
      <c r="T7" s="8">
        <v>3.4000000000000002E-2</v>
      </c>
    </row>
    <row r="8" spans="1:21" ht="60.75" customHeight="1">
      <c r="B8" s="36" t="s">
        <v>33</v>
      </c>
      <c r="C8" s="36" t="s">
        <v>32</v>
      </c>
      <c r="D8" s="277"/>
      <c r="E8" s="267"/>
      <c r="F8" s="267"/>
      <c r="G8" s="42" t="s">
        <v>113</v>
      </c>
      <c r="H8" s="36" t="s">
        <v>31</v>
      </c>
      <c r="I8" s="42" t="s">
        <v>114</v>
      </c>
      <c r="J8" s="42" t="s">
        <v>30</v>
      </c>
      <c r="K8" s="42" t="s">
        <v>29</v>
      </c>
      <c r="L8" s="103" t="s">
        <v>110</v>
      </c>
      <c r="M8" s="103" t="s">
        <v>96</v>
      </c>
      <c r="N8" s="103" t="s">
        <v>111</v>
      </c>
      <c r="O8" s="103" t="s">
        <v>96</v>
      </c>
      <c r="P8" s="41">
        <v>6.4000000000000001E-2</v>
      </c>
      <c r="Q8" s="25" t="s">
        <v>28</v>
      </c>
      <c r="R8" s="25"/>
      <c r="S8" s="25"/>
      <c r="T8" s="25"/>
      <c r="U8" s="25"/>
    </row>
    <row r="9" spans="1:21" ht="15">
      <c r="A9" s="37">
        <f>'Исх данные'!A9</f>
        <v>0</v>
      </c>
      <c r="B9" s="38">
        <v>1000</v>
      </c>
      <c r="C9" s="39">
        <v>400</v>
      </c>
      <c r="D9" s="40">
        <v>1</v>
      </c>
      <c r="E9" s="36">
        <v>4</v>
      </c>
      <c r="F9" s="36">
        <v>8</v>
      </c>
      <c r="G9" s="35">
        <v>278.60000000000002</v>
      </c>
      <c r="H9" s="35">
        <v>149.30000000000001</v>
      </c>
      <c r="I9" s="35">
        <v>431.6</v>
      </c>
      <c r="J9" s="35">
        <v>236</v>
      </c>
      <c r="K9" s="35">
        <v>389</v>
      </c>
      <c r="L9" s="35"/>
      <c r="M9" s="45"/>
      <c r="N9" s="45"/>
      <c r="O9" s="45"/>
      <c r="P9" s="26">
        <f t="shared" ref="P9:P27" si="0">$P$8*F9</f>
        <v>0.51200000000000001</v>
      </c>
      <c r="Q9" s="25">
        <f t="shared" ref="Q9:Q27" si="1">IF(B9&gt;=400,0.008*F9,0)</f>
        <v>6.4000000000000001E-2</v>
      </c>
      <c r="R9" s="25">
        <f t="shared" ref="R9:R27" si="2">P9+Q9</f>
        <v>0.57600000000000007</v>
      </c>
      <c r="S9" s="25"/>
      <c r="T9" s="25">
        <f t="shared" ref="T9:T27" si="3">$T$7*F9</f>
        <v>0.27200000000000002</v>
      </c>
      <c r="U9" s="25"/>
    </row>
    <row r="10" spans="1:21" ht="15">
      <c r="A10" s="37">
        <f>'Исх данные'!A10</f>
        <v>0</v>
      </c>
      <c r="B10" s="38">
        <v>0</v>
      </c>
      <c r="C10" s="39">
        <v>0</v>
      </c>
      <c r="D10" s="40">
        <v>0</v>
      </c>
      <c r="E10" s="36">
        <v>0</v>
      </c>
      <c r="F10" s="36">
        <v>0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/>
      <c r="M10" s="45"/>
      <c r="N10" s="45"/>
      <c r="O10" s="45"/>
      <c r="P10" s="26">
        <f t="shared" si="0"/>
        <v>0</v>
      </c>
      <c r="Q10" s="25">
        <f t="shared" si="1"/>
        <v>0</v>
      </c>
      <c r="R10" s="25">
        <f t="shared" si="2"/>
        <v>0</v>
      </c>
      <c r="S10" s="25"/>
      <c r="T10" s="25">
        <f t="shared" si="3"/>
        <v>0</v>
      </c>
      <c r="U10" s="25"/>
    </row>
    <row r="11" spans="1:21" ht="15">
      <c r="A11" s="37">
        <f>'Исх данные'!A11</f>
        <v>0</v>
      </c>
      <c r="B11" s="38" t="e">
        <f>IF('Исх данные'!#REF!=1,"---",'Исх данные'!G11)</f>
        <v>#REF!</v>
      </c>
      <c r="C11" s="39" t="e">
        <f>IF('Исх данные'!#REF!=1,"---",'Исх данные'!H11)</f>
        <v>#REF!</v>
      </c>
      <c r="D11" s="40">
        <f>'Исх данные'!Q11</f>
        <v>0</v>
      </c>
      <c r="E11" s="36">
        <f>IF(AND('Исх данные'!G11&gt;99, 'Исх данные'!G11&lt;=800),1,IF(AND('Исх данные'!G11&gt;800, 'Исх данные'!G11&lt;=1600),2,IF(AND('Исх данные'!G11&gt;1600, 'Исх данные'!G11&lt;=2500),4,0)))</f>
        <v>0</v>
      </c>
      <c r="F11" s="36">
        <f t="shared" ref="F11:F19" si="4">E11*2*D11</f>
        <v>0</v>
      </c>
      <c r="G11" s="35">
        <f t="shared" ref="G11:G19" si="5">IFERROR((CEILING((B11-24)/E11-8.7+55.48,1)), 0)</f>
        <v>0</v>
      </c>
      <c r="H11" s="35">
        <f t="shared" ref="H11:H19" si="6">IFERROR(CEILING(G11-34.14-((B11-24)/E11-28)/2,1), 0)</f>
        <v>0</v>
      </c>
      <c r="I11" s="35" t="e">
        <f t="shared" ref="I11:I19" si="7">CEILING(C11-32+64.8,1)</f>
        <v>#REF!</v>
      </c>
      <c r="J11" s="35">
        <f t="shared" ref="J11:J19" si="8">IFERROR(CEILING((B11-24)/E11-8.7,1),0)</f>
        <v>0</v>
      </c>
      <c r="K11" s="35" t="e">
        <f t="shared" ref="K11:K19" si="9">C11-32</f>
        <v>#REF!</v>
      </c>
      <c r="L11" s="35"/>
      <c r="M11" s="45"/>
      <c r="N11" s="45"/>
      <c r="O11" s="45"/>
      <c r="P11" s="26">
        <f t="shared" si="0"/>
        <v>0</v>
      </c>
      <c r="Q11" s="25" t="e">
        <f t="shared" si="1"/>
        <v>#REF!</v>
      </c>
      <c r="R11" s="25" t="e">
        <f t="shared" si="2"/>
        <v>#REF!</v>
      </c>
      <c r="S11" s="25"/>
      <c r="T11" s="25">
        <f t="shared" si="3"/>
        <v>0</v>
      </c>
      <c r="U11" s="25"/>
    </row>
    <row r="12" spans="1:21" ht="15">
      <c r="A12" s="37">
        <f>'Исх данные'!A12</f>
        <v>0</v>
      </c>
      <c r="B12" s="38" t="e">
        <f>IF('Исх данные'!#REF!=1,"---",'Исх данные'!G12)</f>
        <v>#REF!</v>
      </c>
      <c r="C12" s="39" t="e">
        <f>IF('Исх данные'!#REF!=1,"---",'Исх данные'!H12)</f>
        <v>#REF!</v>
      </c>
      <c r="D12" s="40">
        <f>'Исх данные'!Q12</f>
        <v>0</v>
      </c>
      <c r="E12" s="36">
        <f>IF(AND('Исх данные'!G12&gt;99, 'Исх данные'!G12&lt;=800),1,IF(AND('Исх данные'!G12&gt;800, 'Исх данные'!G12&lt;=1600),2,IF(AND('Исх данные'!G12&gt;1600, 'Исх данные'!G12&lt;=2500),4,0)))</f>
        <v>0</v>
      </c>
      <c r="F12" s="36">
        <f t="shared" si="4"/>
        <v>0</v>
      </c>
      <c r="G12" s="35">
        <f t="shared" si="5"/>
        <v>0</v>
      </c>
      <c r="H12" s="35">
        <f t="shared" si="6"/>
        <v>0</v>
      </c>
      <c r="I12" s="35" t="e">
        <f t="shared" si="7"/>
        <v>#REF!</v>
      </c>
      <c r="J12" s="35">
        <f t="shared" si="8"/>
        <v>0</v>
      </c>
      <c r="K12" s="35" t="e">
        <f t="shared" si="9"/>
        <v>#REF!</v>
      </c>
      <c r="L12" s="35"/>
      <c r="M12" s="45"/>
      <c r="N12" s="45"/>
      <c r="O12" s="45"/>
      <c r="P12" s="26">
        <f t="shared" si="0"/>
        <v>0</v>
      </c>
      <c r="Q12" s="25" t="e">
        <f t="shared" si="1"/>
        <v>#REF!</v>
      </c>
      <c r="R12" s="25" t="e">
        <f t="shared" si="2"/>
        <v>#REF!</v>
      </c>
      <c r="S12" s="25"/>
      <c r="T12" s="25">
        <f t="shared" si="3"/>
        <v>0</v>
      </c>
      <c r="U12" s="25"/>
    </row>
    <row r="13" spans="1:21" ht="15">
      <c r="A13" s="37">
        <f>'Исх данные'!A13</f>
        <v>0</v>
      </c>
      <c r="B13" s="38" t="e">
        <f>IF('Исх данные'!#REF!=1,"---",'Исх данные'!G13)</f>
        <v>#REF!</v>
      </c>
      <c r="C13" s="39" t="e">
        <f>IF('Исх данные'!#REF!=1,"---",'Исх данные'!H13)</f>
        <v>#REF!</v>
      </c>
      <c r="D13" s="40">
        <f>'Исх данные'!Q13</f>
        <v>0</v>
      </c>
      <c r="E13" s="36">
        <f>IF(AND('Исх данные'!G13&gt;99, 'Исх данные'!G13&lt;=800),1,IF(AND('Исх данные'!G13&gt;800, 'Исх данные'!G13&lt;=1600),2,IF(AND('Исх данные'!G13&gt;1600, 'Исх данные'!G13&lt;=2500),4,0)))</f>
        <v>0</v>
      </c>
      <c r="F13" s="36">
        <f t="shared" si="4"/>
        <v>0</v>
      </c>
      <c r="G13" s="35">
        <f t="shared" si="5"/>
        <v>0</v>
      </c>
      <c r="H13" s="35">
        <f t="shared" si="6"/>
        <v>0</v>
      </c>
      <c r="I13" s="35" t="e">
        <f t="shared" si="7"/>
        <v>#REF!</v>
      </c>
      <c r="J13" s="35">
        <f t="shared" si="8"/>
        <v>0</v>
      </c>
      <c r="K13" s="35" t="e">
        <f t="shared" si="9"/>
        <v>#REF!</v>
      </c>
      <c r="L13" s="35"/>
      <c r="M13" s="45"/>
      <c r="N13" s="45"/>
      <c r="O13" s="45"/>
      <c r="P13" s="26">
        <f t="shared" si="0"/>
        <v>0</v>
      </c>
      <c r="Q13" s="25" t="e">
        <f t="shared" si="1"/>
        <v>#REF!</v>
      </c>
      <c r="R13" s="25" t="e">
        <f t="shared" si="2"/>
        <v>#REF!</v>
      </c>
      <c r="S13" s="25"/>
      <c r="T13" s="25">
        <f t="shared" si="3"/>
        <v>0</v>
      </c>
      <c r="U13" s="25"/>
    </row>
    <row r="14" spans="1:21" ht="15">
      <c r="A14" s="37">
        <f>'Исх данные'!A14</f>
        <v>0</v>
      </c>
      <c r="B14" s="38" t="e">
        <f>IF('Исх данные'!#REF!=1,"---",'Исх данные'!G14)</f>
        <v>#REF!</v>
      </c>
      <c r="C14" s="39" t="e">
        <f>IF('Исх данные'!#REF!=1,"---",'Исх данные'!H14)</f>
        <v>#REF!</v>
      </c>
      <c r="D14" s="40">
        <f>'Исх данные'!Q14</f>
        <v>0</v>
      </c>
      <c r="E14" s="36">
        <f>IF(AND('Исх данные'!G14&gt;99, 'Исх данные'!G14&lt;=800),1,IF(AND('Исх данные'!G14&gt;800, 'Исх данные'!G14&lt;=1600),2,IF(AND('Исх данные'!G14&gt;1600, 'Исх данные'!G14&lt;=2500),4,0)))</f>
        <v>0</v>
      </c>
      <c r="F14" s="36">
        <f t="shared" si="4"/>
        <v>0</v>
      </c>
      <c r="G14" s="35">
        <f t="shared" si="5"/>
        <v>0</v>
      </c>
      <c r="H14" s="35">
        <f t="shared" si="6"/>
        <v>0</v>
      </c>
      <c r="I14" s="35" t="e">
        <f t="shared" si="7"/>
        <v>#REF!</v>
      </c>
      <c r="J14" s="35">
        <f t="shared" si="8"/>
        <v>0</v>
      </c>
      <c r="K14" s="35" t="e">
        <f t="shared" si="9"/>
        <v>#REF!</v>
      </c>
      <c r="L14" s="35"/>
      <c r="M14" s="45"/>
      <c r="N14" s="45"/>
      <c r="O14" s="45"/>
      <c r="P14" s="26">
        <f t="shared" si="0"/>
        <v>0</v>
      </c>
      <c r="Q14" s="25" t="e">
        <f t="shared" si="1"/>
        <v>#REF!</v>
      </c>
      <c r="R14" s="25" t="e">
        <f t="shared" si="2"/>
        <v>#REF!</v>
      </c>
      <c r="S14" s="25"/>
      <c r="T14" s="25">
        <f t="shared" si="3"/>
        <v>0</v>
      </c>
      <c r="U14" s="25"/>
    </row>
    <row r="15" spans="1:21" ht="15">
      <c r="A15" s="37">
        <f>'Исх данные'!A15</f>
        <v>0</v>
      </c>
      <c r="B15" s="38" t="e">
        <f>IF('Исх данные'!#REF!=1,"---",'Исх данные'!G15)</f>
        <v>#REF!</v>
      </c>
      <c r="C15" s="39" t="e">
        <f>IF('Исх данные'!#REF!=1,"---",'Исх данные'!H15)</f>
        <v>#REF!</v>
      </c>
      <c r="D15" s="40">
        <f>'Исх данные'!Q15</f>
        <v>0</v>
      </c>
      <c r="E15" s="36">
        <f>IF(AND('Исх данные'!G15&gt;99, 'Исх данные'!G15&lt;=800),1,IF(AND('Исх данные'!G15&gt;800, 'Исх данные'!G15&lt;=1600),2,IF(AND('Исх данные'!G15&gt;1600, 'Исх данные'!G15&lt;=2500),4,0)))</f>
        <v>0</v>
      </c>
      <c r="F15" s="36">
        <f t="shared" si="4"/>
        <v>0</v>
      </c>
      <c r="G15" s="35">
        <f t="shared" si="5"/>
        <v>0</v>
      </c>
      <c r="H15" s="35">
        <f t="shared" si="6"/>
        <v>0</v>
      </c>
      <c r="I15" s="35" t="e">
        <f t="shared" si="7"/>
        <v>#REF!</v>
      </c>
      <c r="J15" s="35">
        <f t="shared" si="8"/>
        <v>0</v>
      </c>
      <c r="K15" s="35" t="e">
        <f t="shared" si="9"/>
        <v>#REF!</v>
      </c>
      <c r="L15" s="35"/>
      <c r="M15" s="45"/>
      <c r="N15" s="45"/>
      <c r="O15" s="45"/>
      <c r="P15" s="26">
        <f t="shared" si="0"/>
        <v>0</v>
      </c>
      <c r="Q15" s="25" t="e">
        <f t="shared" si="1"/>
        <v>#REF!</v>
      </c>
      <c r="R15" s="25" t="e">
        <f t="shared" si="2"/>
        <v>#REF!</v>
      </c>
      <c r="S15" s="25"/>
      <c r="T15" s="25">
        <f t="shared" si="3"/>
        <v>0</v>
      </c>
      <c r="U15" s="25"/>
    </row>
    <row r="16" spans="1:21" ht="15">
      <c r="A16" s="37">
        <f>'Исх данные'!A16</f>
        <v>0</v>
      </c>
      <c r="B16" s="38" t="e">
        <f>IF('Исх данные'!#REF!=1,"---",'Исх данные'!G16)</f>
        <v>#REF!</v>
      </c>
      <c r="C16" s="39" t="e">
        <f>IF('Исх данные'!#REF!=1,"---",'Исх данные'!H16)</f>
        <v>#REF!</v>
      </c>
      <c r="D16" s="40">
        <f>'Исх данные'!Q16</f>
        <v>0</v>
      </c>
      <c r="E16" s="36">
        <f>IF(AND('Исх данные'!G16&gt;99, 'Исх данные'!G16&lt;=800),1,IF(AND('Исх данные'!G16&gt;800, 'Исх данные'!G16&lt;=1600),2,IF(AND('Исх данные'!G16&gt;1600, 'Исх данные'!G16&lt;=2500),4,0)))</f>
        <v>0</v>
      </c>
      <c r="F16" s="36">
        <f t="shared" si="4"/>
        <v>0</v>
      </c>
      <c r="G16" s="35">
        <f t="shared" si="5"/>
        <v>0</v>
      </c>
      <c r="H16" s="35">
        <f t="shared" si="6"/>
        <v>0</v>
      </c>
      <c r="I16" s="35" t="e">
        <f t="shared" si="7"/>
        <v>#REF!</v>
      </c>
      <c r="J16" s="35">
        <f t="shared" si="8"/>
        <v>0</v>
      </c>
      <c r="K16" s="35" t="e">
        <f t="shared" si="9"/>
        <v>#REF!</v>
      </c>
      <c r="L16" s="35"/>
      <c r="M16" s="45"/>
      <c r="N16" s="45"/>
      <c r="O16" s="45"/>
      <c r="P16" s="26">
        <f t="shared" si="0"/>
        <v>0</v>
      </c>
      <c r="Q16" s="25" t="e">
        <f t="shared" si="1"/>
        <v>#REF!</v>
      </c>
      <c r="R16" s="25" t="e">
        <f t="shared" si="2"/>
        <v>#REF!</v>
      </c>
      <c r="S16" s="25"/>
      <c r="T16" s="25">
        <f t="shared" si="3"/>
        <v>0</v>
      </c>
      <c r="U16" s="25"/>
    </row>
    <row r="17" spans="1:21" ht="15">
      <c r="A17" s="37">
        <f>'Исх данные'!A17</f>
        <v>0</v>
      </c>
      <c r="B17" s="38" t="e">
        <f>IF('Исх данные'!#REF!=1,"---",'Исх данные'!G17)</f>
        <v>#REF!</v>
      </c>
      <c r="C17" s="39" t="e">
        <f>IF('Исх данные'!#REF!=1,"---",'Исх данные'!H17)</f>
        <v>#REF!</v>
      </c>
      <c r="D17" s="40">
        <f>'Исх данные'!Q17</f>
        <v>0</v>
      </c>
      <c r="E17" s="36">
        <f>IF(AND('Исх данные'!G17&gt;99, 'Исх данные'!G17&lt;=800),1,IF(AND('Исх данные'!G17&gt;800, 'Исх данные'!G17&lt;=1600),2,IF(AND('Исх данные'!G17&gt;1600, 'Исх данные'!G17&lt;=2500),4,0)))</f>
        <v>0</v>
      </c>
      <c r="F17" s="36">
        <f t="shared" si="4"/>
        <v>0</v>
      </c>
      <c r="G17" s="35">
        <f t="shared" si="5"/>
        <v>0</v>
      </c>
      <c r="H17" s="35">
        <f t="shared" si="6"/>
        <v>0</v>
      </c>
      <c r="I17" s="35" t="e">
        <f t="shared" si="7"/>
        <v>#REF!</v>
      </c>
      <c r="J17" s="35">
        <f t="shared" si="8"/>
        <v>0</v>
      </c>
      <c r="K17" s="35" t="e">
        <f t="shared" si="9"/>
        <v>#REF!</v>
      </c>
      <c r="L17" s="35"/>
      <c r="M17" s="45"/>
      <c r="N17" s="45"/>
      <c r="O17" s="45"/>
      <c r="P17" s="26">
        <f t="shared" si="0"/>
        <v>0</v>
      </c>
      <c r="Q17" s="25" t="e">
        <f t="shared" si="1"/>
        <v>#REF!</v>
      </c>
      <c r="R17" s="25" t="e">
        <f t="shared" si="2"/>
        <v>#REF!</v>
      </c>
      <c r="S17" s="25"/>
      <c r="T17" s="25">
        <f t="shared" si="3"/>
        <v>0</v>
      </c>
      <c r="U17" s="25"/>
    </row>
    <row r="18" spans="1:21" ht="15">
      <c r="A18" s="37">
        <f>'Исх данные'!A18</f>
        <v>0</v>
      </c>
      <c r="B18" s="38" t="e">
        <f>IF('Исх данные'!#REF!=1,"---",'Исх данные'!G18)</f>
        <v>#REF!</v>
      </c>
      <c r="C18" s="39" t="e">
        <f>IF('Исх данные'!#REF!=1,"---",'Исх данные'!H18)</f>
        <v>#REF!</v>
      </c>
      <c r="D18" s="40">
        <f>'Исх данные'!Q18</f>
        <v>0</v>
      </c>
      <c r="E18" s="36">
        <f>IF(AND('Исх данные'!G18&gt;99, 'Исх данные'!G18&lt;=800),1,IF(AND('Исх данные'!G18&gt;800, 'Исх данные'!G18&lt;=1600),2,IF(AND('Исх данные'!G18&gt;1600, 'Исх данные'!G18&lt;=2500),4,0)))</f>
        <v>0</v>
      </c>
      <c r="F18" s="36">
        <f t="shared" si="4"/>
        <v>0</v>
      </c>
      <c r="G18" s="35">
        <f t="shared" si="5"/>
        <v>0</v>
      </c>
      <c r="H18" s="35">
        <f t="shared" si="6"/>
        <v>0</v>
      </c>
      <c r="I18" s="35" t="e">
        <f t="shared" si="7"/>
        <v>#REF!</v>
      </c>
      <c r="J18" s="35">
        <f t="shared" si="8"/>
        <v>0</v>
      </c>
      <c r="K18" s="35" t="e">
        <f t="shared" si="9"/>
        <v>#REF!</v>
      </c>
      <c r="L18" s="35"/>
      <c r="M18" s="45"/>
      <c r="N18" s="45"/>
      <c r="O18" s="45"/>
      <c r="P18" s="26">
        <f t="shared" si="0"/>
        <v>0</v>
      </c>
      <c r="Q18" s="25" t="e">
        <f t="shared" si="1"/>
        <v>#REF!</v>
      </c>
      <c r="R18" s="25" t="e">
        <f t="shared" si="2"/>
        <v>#REF!</v>
      </c>
      <c r="S18" s="25"/>
      <c r="T18" s="25">
        <f t="shared" si="3"/>
        <v>0</v>
      </c>
      <c r="U18" s="25"/>
    </row>
    <row r="19" spans="1:21" ht="15">
      <c r="A19" s="37">
        <f>'Исх данные'!A19</f>
        <v>0</v>
      </c>
      <c r="B19" s="38" t="e">
        <f>IF('Исх данные'!#REF!=1,"---",'Исх данные'!G19)</f>
        <v>#REF!</v>
      </c>
      <c r="C19" s="39" t="e">
        <f>IF('Исх данные'!#REF!=1,"---",'Исх данные'!H19)</f>
        <v>#REF!</v>
      </c>
      <c r="D19" s="40">
        <f>'Исх данные'!Q19</f>
        <v>0</v>
      </c>
      <c r="E19" s="36">
        <f>IF(AND('Исх данные'!G19&gt;99, 'Исх данные'!G19&lt;=800),1,IF(AND('Исх данные'!G19&gt;800, 'Исх данные'!G19&lt;=1600),2,IF(AND('Исх данные'!G19&gt;1600, 'Исх данные'!G19&lt;=2500),4,0)))</f>
        <v>0</v>
      </c>
      <c r="F19" s="36">
        <f t="shared" si="4"/>
        <v>0</v>
      </c>
      <c r="G19" s="35">
        <f t="shared" si="5"/>
        <v>0</v>
      </c>
      <c r="H19" s="35">
        <f t="shared" si="6"/>
        <v>0</v>
      </c>
      <c r="I19" s="35" t="e">
        <f t="shared" si="7"/>
        <v>#REF!</v>
      </c>
      <c r="J19" s="35">
        <f t="shared" si="8"/>
        <v>0</v>
      </c>
      <c r="K19" s="35" t="e">
        <f t="shared" si="9"/>
        <v>#REF!</v>
      </c>
      <c r="L19" s="35"/>
      <c r="M19" s="45"/>
      <c r="N19" s="45"/>
      <c r="O19" s="45"/>
      <c r="P19" s="26">
        <f t="shared" si="0"/>
        <v>0</v>
      </c>
      <c r="Q19" s="25" t="e">
        <f t="shared" si="1"/>
        <v>#REF!</v>
      </c>
      <c r="R19" s="25" t="e">
        <f t="shared" si="2"/>
        <v>#REF!</v>
      </c>
      <c r="S19" s="25"/>
      <c r="T19" s="25">
        <f t="shared" si="3"/>
        <v>0</v>
      </c>
      <c r="U19" s="25"/>
    </row>
    <row r="20" spans="1:21" ht="15">
      <c r="A20" s="37">
        <f>'Исх данные'!A20</f>
        <v>0</v>
      </c>
      <c r="B20" s="38" t="e">
        <f>IF('Исх данные'!#REF!=1,"---",'Исх данные'!G20)</f>
        <v>#REF!</v>
      </c>
      <c r="C20" s="39" t="e">
        <f>IF('Исх данные'!#REF!=1,"---",'Исх данные'!H20)</f>
        <v>#REF!</v>
      </c>
      <c r="D20" s="40">
        <f>'Исх данные'!Q20</f>
        <v>0</v>
      </c>
      <c r="E20" s="36">
        <f>IF(AND('Исх данные'!G20&gt;99, 'Исх данные'!G20&lt;=800),1,IF(AND('Исх данные'!G20&gt;800, 'Исх данные'!G20&lt;=1600),2,IF(AND('Исх данные'!G20&gt;1600, 'Исх данные'!G20&lt;=2500),4,0)))</f>
        <v>0</v>
      </c>
      <c r="F20" s="36">
        <f t="shared" ref="F20:F27" si="10">E20*2*D20</f>
        <v>0</v>
      </c>
      <c r="G20" s="35">
        <f t="shared" ref="G20:G27" si="11">IFERROR((CEILING((B20-24)/E20-8.7+55.48,1)), 0)</f>
        <v>0</v>
      </c>
      <c r="H20" s="35">
        <f t="shared" ref="H20:H27" si="12">IFERROR(CEILING(G20-34.14-((B20-24)/E20-28)/2,1), 0)</f>
        <v>0</v>
      </c>
      <c r="I20" s="35" t="e">
        <f t="shared" ref="I20:I27" si="13">CEILING(C20-32+64.8,1)</f>
        <v>#REF!</v>
      </c>
      <c r="J20" s="35">
        <f t="shared" ref="J20:J27" si="14">IFERROR(CEILING((B20-24)/E20-8.7,1),0)</f>
        <v>0</v>
      </c>
      <c r="K20" s="35" t="e">
        <f t="shared" ref="K20:K27" si="15">C20-32</f>
        <v>#REF!</v>
      </c>
      <c r="L20" s="35"/>
      <c r="M20" s="45"/>
      <c r="N20" s="45"/>
      <c r="O20" s="45"/>
      <c r="P20" s="26">
        <f t="shared" si="0"/>
        <v>0</v>
      </c>
      <c r="Q20" s="25" t="e">
        <f t="shared" si="1"/>
        <v>#REF!</v>
      </c>
      <c r="R20" s="25" t="e">
        <f t="shared" si="2"/>
        <v>#REF!</v>
      </c>
      <c r="S20" s="25"/>
      <c r="T20" s="25">
        <f t="shared" si="3"/>
        <v>0</v>
      </c>
      <c r="U20" s="25"/>
    </row>
    <row r="21" spans="1:21" ht="15">
      <c r="A21" s="37">
        <f>'Исх данные'!A21</f>
        <v>0</v>
      </c>
      <c r="B21" s="38" t="e">
        <f>IF('Исх данные'!#REF!=1,"---",'Исх данные'!G21)</f>
        <v>#REF!</v>
      </c>
      <c r="C21" s="39" t="e">
        <f>IF('Исх данные'!#REF!=1,"---",'Исх данные'!H21)</f>
        <v>#REF!</v>
      </c>
      <c r="D21" s="40">
        <f>'Исх данные'!Q21</f>
        <v>0</v>
      </c>
      <c r="E21" s="36">
        <f>IF(AND('Исх данные'!G21&gt;99, 'Исх данные'!G21&lt;=800),1,IF(AND('Исх данные'!G21&gt;800, 'Исх данные'!G21&lt;=1600),2,IF(AND('Исх данные'!G21&gt;1600, 'Исх данные'!G21&lt;=2500),4,0)))</f>
        <v>0</v>
      </c>
      <c r="F21" s="36">
        <f t="shared" si="10"/>
        <v>0</v>
      </c>
      <c r="G21" s="35">
        <f t="shared" si="11"/>
        <v>0</v>
      </c>
      <c r="H21" s="35">
        <f t="shared" si="12"/>
        <v>0</v>
      </c>
      <c r="I21" s="35" t="e">
        <f t="shared" si="13"/>
        <v>#REF!</v>
      </c>
      <c r="J21" s="35">
        <f t="shared" si="14"/>
        <v>0</v>
      </c>
      <c r="K21" s="35" t="e">
        <f t="shared" si="15"/>
        <v>#REF!</v>
      </c>
      <c r="L21" s="35"/>
      <c r="M21" s="45"/>
      <c r="N21" s="45"/>
      <c r="O21" s="45"/>
      <c r="P21" s="26">
        <f t="shared" si="0"/>
        <v>0</v>
      </c>
      <c r="Q21" s="25" t="e">
        <f t="shared" si="1"/>
        <v>#REF!</v>
      </c>
      <c r="R21" s="25" t="e">
        <f t="shared" si="2"/>
        <v>#REF!</v>
      </c>
      <c r="S21" s="25"/>
      <c r="T21" s="25">
        <f t="shared" si="3"/>
        <v>0</v>
      </c>
      <c r="U21" s="25"/>
    </row>
    <row r="22" spans="1:21" ht="15">
      <c r="A22" s="37">
        <f>'Исх данные'!A22</f>
        <v>0</v>
      </c>
      <c r="B22" s="38" t="e">
        <f>IF('Исх данные'!#REF!=1,"---",'Исх данные'!G22)</f>
        <v>#REF!</v>
      </c>
      <c r="C22" s="39" t="e">
        <f>IF('Исх данные'!#REF!=1,"---",'Исх данные'!H22)</f>
        <v>#REF!</v>
      </c>
      <c r="D22" s="40">
        <f>'Исх данные'!Q22</f>
        <v>0</v>
      </c>
      <c r="E22" s="36">
        <f>IF(AND('Исх данные'!G22&gt;99, 'Исх данные'!G22&lt;=800),1,IF(AND('Исх данные'!G22&gt;800, 'Исх данные'!G22&lt;=1600),2,IF(AND('Исх данные'!G22&gt;1600, 'Исх данные'!G22&lt;=2500),4,0)))</f>
        <v>0</v>
      </c>
      <c r="F22" s="36">
        <f t="shared" si="10"/>
        <v>0</v>
      </c>
      <c r="G22" s="35">
        <f t="shared" si="11"/>
        <v>0</v>
      </c>
      <c r="H22" s="35">
        <f t="shared" si="12"/>
        <v>0</v>
      </c>
      <c r="I22" s="35" t="e">
        <f t="shared" si="13"/>
        <v>#REF!</v>
      </c>
      <c r="J22" s="35">
        <f t="shared" si="14"/>
        <v>0</v>
      </c>
      <c r="K22" s="35" t="e">
        <f t="shared" si="15"/>
        <v>#REF!</v>
      </c>
      <c r="L22" s="35"/>
      <c r="M22" s="45"/>
      <c r="N22" s="45"/>
      <c r="O22" s="45"/>
      <c r="P22" s="26">
        <f t="shared" si="0"/>
        <v>0</v>
      </c>
      <c r="Q22" s="25" t="e">
        <f t="shared" si="1"/>
        <v>#REF!</v>
      </c>
      <c r="R22" s="25" t="e">
        <f t="shared" si="2"/>
        <v>#REF!</v>
      </c>
      <c r="S22" s="25"/>
      <c r="T22" s="25">
        <f t="shared" si="3"/>
        <v>0</v>
      </c>
      <c r="U22" s="25"/>
    </row>
    <row r="23" spans="1:21" ht="15">
      <c r="A23" s="37">
        <f>'Исх данные'!A23</f>
        <v>0</v>
      </c>
      <c r="B23" s="38" t="e">
        <f>IF('Исх данные'!#REF!=1,"---",'Исх данные'!G23)</f>
        <v>#REF!</v>
      </c>
      <c r="C23" s="39" t="e">
        <f>IF('Исх данные'!#REF!=1,"---",'Исх данные'!H23)</f>
        <v>#REF!</v>
      </c>
      <c r="D23" s="40">
        <f>'Исх данные'!Q23</f>
        <v>0</v>
      </c>
      <c r="E23" s="36">
        <f>IF(AND('Исх данные'!G23&gt;99, 'Исх данные'!G23&lt;=800),1,IF(AND('Исх данные'!G23&gt;800, 'Исх данные'!G23&lt;=1600),2,IF(AND('Исх данные'!G23&gt;1600, 'Исх данные'!G23&lt;=2500),4,0)))</f>
        <v>0</v>
      </c>
      <c r="F23" s="36">
        <f t="shared" si="10"/>
        <v>0</v>
      </c>
      <c r="G23" s="35">
        <f t="shared" si="11"/>
        <v>0</v>
      </c>
      <c r="H23" s="35">
        <f t="shared" si="12"/>
        <v>0</v>
      </c>
      <c r="I23" s="35" t="e">
        <f t="shared" si="13"/>
        <v>#REF!</v>
      </c>
      <c r="J23" s="35">
        <f t="shared" si="14"/>
        <v>0</v>
      </c>
      <c r="K23" s="35" t="e">
        <f t="shared" si="15"/>
        <v>#REF!</v>
      </c>
      <c r="L23" s="35"/>
      <c r="M23" s="45"/>
      <c r="N23" s="45"/>
      <c r="O23" s="45"/>
      <c r="P23" s="26">
        <f t="shared" si="0"/>
        <v>0</v>
      </c>
      <c r="Q23" s="25" t="e">
        <f t="shared" si="1"/>
        <v>#REF!</v>
      </c>
      <c r="R23" s="25" t="e">
        <f t="shared" si="2"/>
        <v>#REF!</v>
      </c>
      <c r="S23" s="25"/>
      <c r="T23" s="25">
        <f t="shared" si="3"/>
        <v>0</v>
      </c>
      <c r="U23" s="25"/>
    </row>
    <row r="24" spans="1:21" ht="15">
      <c r="A24" s="37">
        <f>'Исх данные'!A24</f>
        <v>0</v>
      </c>
      <c r="B24" s="38" t="e">
        <f>IF('Исх данные'!#REF!=1,"---",'Исх данные'!G24)</f>
        <v>#REF!</v>
      </c>
      <c r="C24" s="39" t="e">
        <f>IF('Исх данные'!#REF!=1,"---",'Исх данные'!H24)</f>
        <v>#REF!</v>
      </c>
      <c r="D24" s="40">
        <f>'Исх данные'!Q24</f>
        <v>0</v>
      </c>
      <c r="E24" s="36">
        <f>IF(AND('Исх данные'!G24&gt;99, 'Исх данные'!G24&lt;=800),1,IF(AND('Исх данные'!G24&gt;800, 'Исх данные'!G24&lt;=1600),2,IF(AND('Исх данные'!G24&gt;1600, 'Исх данные'!G24&lt;=2500),4,0)))</f>
        <v>0</v>
      </c>
      <c r="F24" s="36">
        <f t="shared" si="10"/>
        <v>0</v>
      </c>
      <c r="G24" s="35">
        <f t="shared" si="11"/>
        <v>0</v>
      </c>
      <c r="H24" s="35">
        <f t="shared" si="12"/>
        <v>0</v>
      </c>
      <c r="I24" s="35" t="e">
        <f t="shared" si="13"/>
        <v>#REF!</v>
      </c>
      <c r="J24" s="35">
        <f t="shared" si="14"/>
        <v>0</v>
      </c>
      <c r="K24" s="35" t="e">
        <f t="shared" si="15"/>
        <v>#REF!</v>
      </c>
      <c r="L24" s="35"/>
      <c r="M24" s="45"/>
      <c r="N24" s="45"/>
      <c r="O24" s="45"/>
      <c r="P24" s="26">
        <f t="shared" si="0"/>
        <v>0</v>
      </c>
      <c r="Q24" s="25" t="e">
        <f t="shared" si="1"/>
        <v>#REF!</v>
      </c>
      <c r="R24" s="25" t="e">
        <f t="shared" si="2"/>
        <v>#REF!</v>
      </c>
      <c r="S24" s="25"/>
      <c r="T24" s="25">
        <f t="shared" si="3"/>
        <v>0</v>
      </c>
      <c r="U24" s="25"/>
    </row>
    <row r="25" spans="1:21" ht="15">
      <c r="A25" s="37">
        <f>'Исх данные'!A25</f>
        <v>0</v>
      </c>
      <c r="B25" s="38" t="e">
        <f>IF('Исх данные'!#REF!=1,"---",'Исх данные'!G25)</f>
        <v>#REF!</v>
      </c>
      <c r="C25" s="39" t="e">
        <f>IF('Исх данные'!#REF!=1,"---",'Исх данные'!H25)</f>
        <v>#REF!</v>
      </c>
      <c r="D25" s="40">
        <f>'Исх данные'!Q25</f>
        <v>0</v>
      </c>
      <c r="E25" s="36">
        <f>IF(AND('Исх данные'!G25&gt;99, 'Исх данные'!G25&lt;=800),1,IF(AND('Исх данные'!G25&gt;800, 'Исх данные'!G25&lt;=1600),2,IF(AND('Исх данные'!G25&gt;1600, 'Исх данные'!G25&lt;=2500),4,0)))</f>
        <v>0</v>
      </c>
      <c r="F25" s="36">
        <f t="shared" si="10"/>
        <v>0</v>
      </c>
      <c r="G25" s="35">
        <f t="shared" si="11"/>
        <v>0</v>
      </c>
      <c r="H25" s="35">
        <f t="shared" si="12"/>
        <v>0</v>
      </c>
      <c r="I25" s="35" t="e">
        <f t="shared" si="13"/>
        <v>#REF!</v>
      </c>
      <c r="J25" s="35">
        <f t="shared" si="14"/>
        <v>0</v>
      </c>
      <c r="K25" s="35" t="e">
        <f t="shared" si="15"/>
        <v>#REF!</v>
      </c>
      <c r="L25" s="35"/>
      <c r="M25" s="45"/>
      <c r="N25" s="45"/>
      <c r="O25" s="45"/>
      <c r="P25" s="26">
        <f t="shared" si="0"/>
        <v>0</v>
      </c>
      <c r="Q25" s="25" t="e">
        <f t="shared" si="1"/>
        <v>#REF!</v>
      </c>
      <c r="R25" s="25" t="e">
        <f t="shared" si="2"/>
        <v>#REF!</v>
      </c>
      <c r="S25" s="25"/>
      <c r="T25" s="25">
        <f t="shared" si="3"/>
        <v>0</v>
      </c>
      <c r="U25" s="25"/>
    </row>
    <row r="26" spans="1:21" ht="15">
      <c r="A26" s="37">
        <f>'Исх данные'!A26</f>
        <v>0</v>
      </c>
      <c r="B26" s="38" t="e">
        <f>IF('Исх данные'!#REF!=1,"---",'Исх данные'!G26)</f>
        <v>#REF!</v>
      </c>
      <c r="C26" s="39" t="e">
        <f>IF('Исх данные'!#REF!=1,"---",'Исх данные'!H26)</f>
        <v>#REF!</v>
      </c>
      <c r="D26" s="40">
        <f>'Исх данные'!Q26</f>
        <v>0</v>
      </c>
      <c r="E26" s="36">
        <f>IF(AND('Исх данные'!G26&gt;99, 'Исх данные'!G26&lt;=800),1,IF(AND('Исх данные'!G26&gt;800, 'Исх данные'!G26&lt;=1600),2,IF(AND('Исх данные'!G26&gt;1600, 'Исх данные'!G26&lt;=2500),4,0)))</f>
        <v>0</v>
      </c>
      <c r="F26" s="36">
        <f t="shared" si="10"/>
        <v>0</v>
      </c>
      <c r="G26" s="35">
        <f t="shared" si="11"/>
        <v>0</v>
      </c>
      <c r="H26" s="35">
        <f t="shared" si="12"/>
        <v>0</v>
      </c>
      <c r="I26" s="35" t="e">
        <f t="shared" si="13"/>
        <v>#REF!</v>
      </c>
      <c r="J26" s="35">
        <f t="shared" si="14"/>
        <v>0</v>
      </c>
      <c r="K26" s="35" t="e">
        <f t="shared" si="15"/>
        <v>#REF!</v>
      </c>
      <c r="L26" s="35"/>
      <c r="M26" s="45"/>
      <c r="N26" s="45"/>
      <c r="O26" s="45"/>
      <c r="P26" s="26">
        <f t="shared" si="0"/>
        <v>0</v>
      </c>
      <c r="Q26" s="25" t="e">
        <f t="shared" si="1"/>
        <v>#REF!</v>
      </c>
      <c r="R26" s="25" t="e">
        <f t="shared" si="2"/>
        <v>#REF!</v>
      </c>
      <c r="S26" s="25"/>
      <c r="T26" s="25">
        <f t="shared" si="3"/>
        <v>0</v>
      </c>
      <c r="U26" s="25"/>
    </row>
    <row r="27" spans="1:21" ht="15">
      <c r="A27" s="37">
        <f>'Исх данные'!A27</f>
        <v>0</v>
      </c>
      <c r="B27" s="38" t="e">
        <f>IF('Исх данные'!#REF!=1,"---",'Исх данные'!G27)</f>
        <v>#REF!</v>
      </c>
      <c r="C27" s="39" t="e">
        <f>IF('Исх данные'!#REF!=1,"---",'Исх данные'!H27)</f>
        <v>#REF!</v>
      </c>
      <c r="D27" s="40">
        <f>'Исх данные'!Q27</f>
        <v>0</v>
      </c>
      <c r="E27" s="36">
        <f>IF(AND('Исх данные'!G27&gt;99, 'Исх данные'!G27&lt;=800),1,IF(AND('Исх данные'!G27&gt;800, 'Исх данные'!G27&lt;=1600),2,IF(AND('Исх данные'!G27&gt;1600, 'Исх данные'!G27&lt;=2500),4,0)))</f>
        <v>0</v>
      </c>
      <c r="F27" s="36">
        <f t="shared" si="10"/>
        <v>0</v>
      </c>
      <c r="G27" s="35">
        <f t="shared" si="11"/>
        <v>0</v>
      </c>
      <c r="H27" s="35">
        <f t="shared" si="12"/>
        <v>0</v>
      </c>
      <c r="I27" s="35" t="e">
        <f t="shared" si="13"/>
        <v>#REF!</v>
      </c>
      <c r="J27" s="35">
        <f t="shared" si="14"/>
        <v>0</v>
      </c>
      <c r="K27" s="35" t="e">
        <f t="shared" si="15"/>
        <v>#REF!</v>
      </c>
      <c r="L27" s="35"/>
      <c r="M27" s="45"/>
      <c r="N27" s="45"/>
      <c r="O27" s="45"/>
      <c r="P27" s="26">
        <f t="shared" si="0"/>
        <v>0</v>
      </c>
      <c r="Q27" s="25" t="e">
        <f t="shared" si="1"/>
        <v>#REF!</v>
      </c>
      <c r="R27" s="25" t="e">
        <f t="shared" si="2"/>
        <v>#REF!</v>
      </c>
      <c r="S27" s="25"/>
      <c r="T27" s="25">
        <f t="shared" si="3"/>
        <v>0</v>
      </c>
      <c r="U27" s="25"/>
    </row>
    <row r="28" spans="1:21">
      <c r="B28" s="17"/>
      <c r="C28" s="17"/>
      <c r="D28" s="17"/>
      <c r="E28" s="12"/>
      <c r="F28" s="12"/>
      <c r="G28" s="16"/>
      <c r="H28" s="16"/>
      <c r="I28" s="16"/>
      <c r="J28" s="16"/>
      <c r="K28" s="16"/>
      <c r="L28" s="16"/>
      <c r="P28" s="26"/>
      <c r="Q28" s="25"/>
      <c r="R28" s="25"/>
      <c r="S28" s="25"/>
      <c r="T28" s="25"/>
      <c r="U28" s="25"/>
    </row>
    <row r="29" spans="1:21">
      <c r="B29" s="244" t="s">
        <v>27</v>
      </c>
      <c r="C29" s="268"/>
      <c r="D29" s="268"/>
      <c r="E29" s="268"/>
      <c r="F29" s="268"/>
      <c r="G29" s="268"/>
      <c r="H29" s="268"/>
      <c r="I29" s="268"/>
      <c r="J29" s="34"/>
      <c r="K29" s="34"/>
      <c r="L29" s="99"/>
      <c r="P29" s="26"/>
      <c r="Q29" s="25"/>
      <c r="R29" s="25"/>
      <c r="S29" s="25"/>
      <c r="T29" s="25"/>
      <c r="U29" s="25"/>
    </row>
    <row r="30" spans="1:21">
      <c r="B30" s="20"/>
      <c r="C30" s="34"/>
      <c r="D30" s="34"/>
      <c r="E30" s="34"/>
      <c r="F30" s="34"/>
      <c r="G30" s="34"/>
      <c r="H30" s="34"/>
      <c r="I30" s="34"/>
      <c r="J30" s="34"/>
      <c r="K30" s="34"/>
      <c r="L30" s="99"/>
      <c r="P30" s="26"/>
      <c r="Q30" s="25"/>
      <c r="R30" s="25"/>
      <c r="S30" s="25"/>
      <c r="T30" s="25"/>
      <c r="U30" s="25"/>
    </row>
    <row r="31" spans="1:21">
      <c r="B31" s="20"/>
      <c r="C31" s="20" t="s">
        <v>26</v>
      </c>
      <c r="D31" s="34"/>
      <c r="E31" s="20" t="s">
        <v>25</v>
      </c>
      <c r="F31" s="20" t="s">
        <v>24</v>
      </c>
      <c r="G31" s="34"/>
      <c r="H31" s="33"/>
      <c r="I31" s="20" t="s">
        <v>22</v>
      </c>
      <c r="J31" s="20"/>
      <c r="K31" s="20"/>
      <c r="L31" s="98"/>
      <c r="P31" s="26"/>
      <c r="Q31" s="25"/>
      <c r="R31" s="25"/>
      <c r="S31" s="25"/>
      <c r="T31" s="25"/>
      <c r="U31" s="25"/>
    </row>
    <row r="32" spans="1:21">
      <c r="B32" s="17"/>
      <c r="C32" s="17"/>
      <c r="D32" s="17"/>
      <c r="E32" s="12"/>
      <c r="F32" s="12"/>
      <c r="G32" s="16"/>
      <c r="H32" s="16"/>
      <c r="I32" s="16"/>
      <c r="J32" s="16"/>
      <c r="K32" s="16"/>
      <c r="L32" s="16"/>
      <c r="P32" s="26"/>
      <c r="Q32" s="25"/>
      <c r="R32" s="25"/>
      <c r="S32" s="25"/>
      <c r="T32" s="25"/>
      <c r="U32" s="25"/>
    </row>
    <row r="33" spans="1:21">
      <c r="B33" s="15"/>
      <c r="C33" s="15"/>
      <c r="D33" s="15"/>
      <c r="E33" s="15" t="s">
        <v>2</v>
      </c>
      <c r="F33" s="15" t="s">
        <v>23</v>
      </c>
      <c r="G33" s="16"/>
      <c r="H33" s="33">
        <v>0.13600000000000001</v>
      </c>
      <c r="I33" s="32" t="s">
        <v>22</v>
      </c>
      <c r="J33" s="32"/>
      <c r="K33" s="32"/>
      <c r="L33" s="32"/>
      <c r="P33" s="26"/>
      <c r="Q33" s="25"/>
      <c r="R33" s="25"/>
      <c r="S33" s="25"/>
      <c r="T33" s="25"/>
      <c r="U33" s="25"/>
    </row>
    <row r="34" spans="1:21">
      <c r="B34" s="15"/>
      <c r="C34" s="15"/>
      <c r="D34" s="15"/>
      <c r="E34" s="15"/>
      <c r="F34" s="15"/>
      <c r="G34" s="16"/>
      <c r="H34" s="16"/>
      <c r="I34" s="16"/>
      <c r="J34" s="16"/>
      <c r="K34" s="16"/>
      <c r="L34" s="16"/>
      <c r="P34" s="26"/>
      <c r="Q34" s="25"/>
      <c r="R34" s="25"/>
      <c r="S34" s="25"/>
      <c r="T34" s="25"/>
      <c r="U34" s="25"/>
    </row>
    <row r="35" spans="1:21" ht="18">
      <c r="B35" s="29"/>
      <c r="C35" s="30" t="s">
        <v>93</v>
      </c>
      <c r="D35" s="30"/>
      <c r="E35" s="31"/>
      <c r="F35" s="24"/>
      <c r="G35" s="30"/>
      <c r="H35" s="10"/>
      <c r="I35" s="30" t="s">
        <v>78</v>
      </c>
      <c r="J35" s="10"/>
      <c r="K35" s="10"/>
      <c r="L35" s="10"/>
      <c r="P35" s="26"/>
      <c r="Q35" s="25"/>
      <c r="R35" s="25"/>
      <c r="S35" s="25"/>
      <c r="T35" s="25"/>
      <c r="U35" s="25"/>
    </row>
    <row r="36" spans="1:21" ht="18">
      <c r="B36" s="29"/>
      <c r="C36" s="275"/>
      <c r="D36" s="275"/>
      <c r="E36" s="275"/>
      <c r="F36" s="275"/>
      <c r="G36" s="275"/>
      <c r="H36" s="275"/>
      <c r="I36" s="10"/>
      <c r="J36" s="10"/>
      <c r="K36" s="10"/>
      <c r="L36" s="10"/>
      <c r="P36" s="26"/>
      <c r="Q36" s="25"/>
      <c r="R36" s="25"/>
      <c r="S36" s="25"/>
      <c r="T36" s="25"/>
      <c r="U36" s="25"/>
    </row>
    <row r="37" spans="1:21" ht="18.75" thickBot="1">
      <c r="B37" s="24"/>
      <c r="C37" s="24" t="s">
        <v>21</v>
      </c>
      <c r="D37" s="24"/>
      <c r="E37" s="28"/>
      <c r="F37" s="27"/>
      <c r="G37" s="27"/>
      <c r="H37" s="10"/>
      <c r="I37" s="10"/>
      <c r="J37" s="10"/>
      <c r="K37" s="10"/>
      <c r="L37" s="10"/>
      <c r="P37" s="26"/>
      <c r="Q37" s="25"/>
      <c r="R37" s="25"/>
      <c r="S37" s="25"/>
      <c r="T37" s="25"/>
      <c r="U37" s="25"/>
    </row>
    <row r="38" spans="1:21" ht="18">
      <c r="B38" s="274"/>
      <c r="C38" s="274"/>
      <c r="D38" s="274"/>
      <c r="E38" s="274"/>
      <c r="F38" s="274"/>
      <c r="G38" s="24"/>
      <c r="H38" s="10"/>
      <c r="I38" s="10"/>
      <c r="J38" s="10"/>
      <c r="K38" s="10"/>
      <c r="L38" s="10"/>
      <c r="P38" s="23"/>
    </row>
    <row r="39" spans="1:21" ht="21">
      <c r="A39" s="64"/>
      <c r="B39" s="65" t="s">
        <v>49</v>
      </c>
      <c r="C39" s="65"/>
      <c r="D39" s="65"/>
      <c r="E39" s="65"/>
      <c r="F39" s="65"/>
      <c r="G39" s="16"/>
      <c r="H39" s="16" t="s">
        <v>43</v>
      </c>
      <c r="I39" s="16"/>
      <c r="J39" s="16"/>
      <c r="K39" s="8" t="s">
        <v>106</v>
      </c>
      <c r="L39" s="16"/>
      <c r="P39" s="11"/>
    </row>
    <row r="40" spans="1:21" ht="18.75">
      <c r="A40" s="64"/>
      <c r="B40" s="66" t="s">
        <v>45</v>
      </c>
      <c r="C40" s="66"/>
      <c r="D40" s="66"/>
      <c r="E40" s="66"/>
      <c r="F40" s="66">
        <f>'Исх данные'!H6</f>
        <v>0</v>
      </c>
      <c r="G40" s="12"/>
      <c r="H40" s="12"/>
      <c r="I40" s="12"/>
      <c r="J40" s="12"/>
      <c r="K40" s="12"/>
      <c r="L40" s="12"/>
      <c r="P40" s="11"/>
    </row>
    <row r="41" spans="1:21" ht="18.75">
      <c r="A41" s="64"/>
      <c r="B41" s="66" t="s">
        <v>72</v>
      </c>
      <c r="C41" s="66"/>
      <c r="D41" s="66"/>
      <c r="E41" s="64"/>
      <c r="F41" s="64"/>
      <c r="G41" s="12"/>
      <c r="H41" s="12"/>
      <c r="I41" s="12"/>
      <c r="J41" s="12"/>
      <c r="K41" s="12"/>
      <c r="L41" s="12"/>
      <c r="P41" s="11"/>
    </row>
    <row r="42" spans="1:21" ht="15">
      <c r="A42" s="64"/>
      <c r="B42" s="64" t="s">
        <v>50</v>
      </c>
      <c r="C42" s="64"/>
      <c r="D42" s="64"/>
      <c r="E42" s="64"/>
      <c r="F42" s="64"/>
      <c r="G42" s="14"/>
      <c r="H42" s="14"/>
      <c r="I42" s="14"/>
      <c r="J42" s="14"/>
      <c r="K42" s="14"/>
      <c r="L42" s="14"/>
      <c r="M42" s="22"/>
      <c r="N42" s="22"/>
      <c r="O42" s="22"/>
      <c r="P42" s="21"/>
    </row>
    <row r="43" spans="1:21" ht="15">
      <c r="A43" s="64"/>
      <c r="B43" s="64"/>
      <c r="C43" s="64"/>
      <c r="D43" s="64"/>
      <c r="E43" s="64"/>
      <c r="F43" s="64"/>
      <c r="G43" s="14"/>
      <c r="H43" s="14"/>
      <c r="I43" s="14"/>
      <c r="J43" s="14"/>
      <c r="K43" s="14"/>
      <c r="L43" s="14"/>
      <c r="M43" s="12"/>
      <c r="N43" s="12"/>
      <c r="O43" s="12"/>
      <c r="P43" s="11"/>
    </row>
    <row r="44" spans="1:21" ht="15">
      <c r="A44" s="64"/>
      <c r="B44" s="64" t="s">
        <v>51</v>
      </c>
      <c r="C44" s="64" t="s">
        <v>52</v>
      </c>
      <c r="D44" s="64"/>
      <c r="E44" s="64"/>
      <c r="F44" s="64" t="s">
        <v>91</v>
      </c>
      <c r="G44" s="14"/>
      <c r="H44" s="14"/>
      <c r="I44" s="14"/>
      <c r="J44" s="14"/>
      <c r="K44" s="14"/>
      <c r="L44" s="14"/>
      <c r="M44" s="10"/>
      <c r="N44" s="10"/>
      <c r="O44" s="10"/>
      <c r="P44" s="10"/>
    </row>
    <row r="45" spans="1:21" ht="15">
      <c r="A45" s="64"/>
      <c r="B45" s="64"/>
      <c r="C45" s="64"/>
      <c r="D45" s="64"/>
      <c r="E45" s="64"/>
      <c r="F45" s="64"/>
      <c r="G45" s="14"/>
      <c r="H45" s="14"/>
      <c r="I45" s="14"/>
      <c r="J45" s="14"/>
      <c r="K45" s="14"/>
      <c r="L45" s="14"/>
      <c r="M45" s="10"/>
      <c r="N45" s="10"/>
      <c r="O45" s="10"/>
      <c r="P45" s="10"/>
    </row>
    <row r="46" spans="1:21" ht="15">
      <c r="A46" s="64"/>
      <c r="B46" s="64" t="s">
        <v>53</v>
      </c>
      <c r="C46" s="64"/>
      <c r="D46" s="64"/>
      <c r="E46" s="64"/>
      <c r="F46" s="64" t="s">
        <v>91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spans="1:21" ht="15">
      <c r="A47" s="64"/>
      <c r="B47" s="64"/>
      <c r="C47" s="64"/>
      <c r="D47" s="64"/>
      <c r="E47" s="64"/>
      <c r="F47" s="64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 spans="1:21" ht="15">
      <c r="A48" s="64"/>
      <c r="B48" s="64" t="s">
        <v>54</v>
      </c>
      <c r="C48" s="64"/>
      <c r="D48" s="64"/>
      <c r="E48" s="64"/>
      <c r="F48" s="64" t="s">
        <v>91</v>
      </c>
      <c r="G48" s="10"/>
      <c r="H48" s="10"/>
      <c r="I48" s="10"/>
      <c r="J48" s="10"/>
      <c r="K48" s="10"/>
      <c r="L48" s="10"/>
      <c r="M48" s="13"/>
      <c r="N48" s="13"/>
      <c r="O48" s="13"/>
      <c r="P48" s="10"/>
    </row>
    <row r="49" spans="1:16" ht="15">
      <c r="A49" s="64"/>
      <c r="B49" s="64"/>
      <c r="C49" s="64"/>
      <c r="D49" s="64"/>
      <c r="E49" s="64"/>
      <c r="F49" s="64"/>
      <c r="G49" s="245"/>
      <c r="H49" s="245"/>
      <c r="I49" s="245"/>
      <c r="J49" s="15"/>
      <c r="K49" s="15"/>
      <c r="L49" s="97"/>
      <c r="M49" s="265"/>
      <c r="N49" s="104"/>
      <c r="O49" s="104"/>
      <c r="P49" s="13"/>
    </row>
    <row r="50" spans="1:16">
      <c r="B50" s="12"/>
      <c r="C50" s="12"/>
      <c r="D50" s="12"/>
      <c r="E50" s="19"/>
      <c r="F50" s="18"/>
      <c r="G50" s="12"/>
      <c r="H50" s="12"/>
      <c r="I50" s="12"/>
      <c r="J50" s="12"/>
      <c r="K50" s="12"/>
      <c r="L50" s="12"/>
      <c r="M50" s="265"/>
      <c r="N50" s="104"/>
      <c r="O50" s="104"/>
      <c r="P50" s="13"/>
    </row>
    <row r="51" spans="1:16">
      <c r="B51" s="15"/>
      <c r="C51" s="15"/>
      <c r="D51" s="15"/>
      <c r="E51" s="15"/>
      <c r="F51" s="15"/>
      <c r="G51" s="16"/>
      <c r="H51" s="16"/>
      <c r="I51" s="16"/>
      <c r="J51" s="16"/>
      <c r="K51" s="16"/>
      <c r="L51" s="16"/>
      <c r="M51" s="12"/>
      <c r="N51" s="12"/>
      <c r="O51" s="12"/>
      <c r="P51" s="11"/>
    </row>
    <row r="52" spans="1:16">
      <c r="B52" s="17"/>
      <c r="C52" s="17"/>
      <c r="D52" s="17"/>
      <c r="E52" s="15"/>
      <c r="F52" s="15"/>
      <c r="G52" s="16"/>
      <c r="H52" s="16"/>
      <c r="I52" s="16"/>
      <c r="J52" s="16"/>
      <c r="K52" s="16"/>
      <c r="L52" s="16"/>
      <c r="M52" s="12"/>
      <c r="N52" s="12"/>
      <c r="O52" s="12"/>
      <c r="P52" s="11"/>
    </row>
    <row r="53" spans="1:16">
      <c r="B53" s="10"/>
      <c r="C53" s="10"/>
      <c r="D53" s="10"/>
      <c r="E53" s="15"/>
      <c r="F53" s="10"/>
      <c r="G53" s="10"/>
      <c r="H53" s="10"/>
      <c r="I53" s="10"/>
      <c r="J53" s="10"/>
      <c r="K53" s="10"/>
      <c r="L53" s="10"/>
      <c r="M53" s="12"/>
      <c r="N53" s="12"/>
      <c r="O53" s="12"/>
      <c r="P53" s="11"/>
    </row>
    <row r="54" spans="1:16">
      <c r="B54" s="10"/>
      <c r="C54" s="10"/>
      <c r="D54" s="10"/>
      <c r="E54" s="15"/>
      <c r="F54" s="10"/>
      <c r="G54" s="10"/>
      <c r="H54" s="10"/>
      <c r="I54" s="10"/>
      <c r="J54" s="10"/>
      <c r="K54" s="10"/>
      <c r="L54" s="10"/>
      <c r="M54" s="12"/>
      <c r="N54" s="12"/>
      <c r="O54" s="12"/>
      <c r="P54" s="11"/>
    </row>
    <row r="55" spans="1:16">
      <c r="M55" s="14"/>
      <c r="N55" s="14"/>
      <c r="O55" s="14"/>
      <c r="P55" s="14"/>
    </row>
    <row r="56" spans="1:16">
      <c r="M56" s="14"/>
      <c r="N56" s="14"/>
      <c r="O56" s="14"/>
      <c r="P56" s="14"/>
    </row>
    <row r="57" spans="1:16">
      <c r="M57" s="14"/>
      <c r="N57" s="14"/>
      <c r="O57" s="14"/>
      <c r="P57" s="14"/>
    </row>
    <row r="58" spans="1:16">
      <c r="M58" s="14"/>
      <c r="N58" s="14"/>
      <c r="O58" s="14"/>
      <c r="P58" s="14"/>
    </row>
    <row r="59" spans="1:16">
      <c r="M59" s="10"/>
      <c r="N59" s="10"/>
      <c r="O59" s="10"/>
      <c r="P59" s="10"/>
    </row>
    <row r="60" spans="1:16">
      <c r="M60" s="10"/>
      <c r="N60" s="10"/>
      <c r="O60" s="10"/>
      <c r="P60" s="10"/>
    </row>
    <row r="61" spans="1:16">
      <c r="M61" s="13"/>
      <c r="N61" s="13"/>
      <c r="O61" s="13"/>
      <c r="P61" s="10"/>
    </row>
    <row r="62" spans="1:16">
      <c r="M62" s="265"/>
      <c r="N62" s="104"/>
      <c r="O62" s="104"/>
      <c r="P62" s="13"/>
    </row>
    <row r="63" spans="1:16">
      <c r="M63" s="265"/>
      <c r="N63" s="104"/>
      <c r="O63" s="104"/>
      <c r="P63" s="13"/>
    </row>
    <row r="64" spans="1:16">
      <c r="M64" s="12"/>
      <c r="N64" s="12"/>
      <c r="O64" s="12"/>
      <c r="P64" s="11"/>
    </row>
    <row r="65" spans="13:16">
      <c r="M65" s="12"/>
      <c r="N65" s="12"/>
      <c r="O65" s="12"/>
      <c r="P65" s="11"/>
    </row>
    <row r="66" spans="13:16">
      <c r="M66" s="10"/>
      <c r="N66" s="10"/>
      <c r="O66" s="10"/>
      <c r="P66" s="10"/>
    </row>
    <row r="67" spans="13:16">
      <c r="M67" s="10"/>
      <c r="N67" s="10"/>
      <c r="O67" s="10"/>
      <c r="P67" s="10"/>
    </row>
  </sheetData>
  <mergeCells count="13">
    <mergeCell ref="P7:R7"/>
    <mergeCell ref="B7:C7"/>
    <mergeCell ref="B38:F38"/>
    <mergeCell ref="E7:E8"/>
    <mergeCell ref="C36:H36"/>
    <mergeCell ref="D7:D8"/>
    <mergeCell ref="B2:F2"/>
    <mergeCell ref="M49:M50"/>
    <mergeCell ref="G49:I49"/>
    <mergeCell ref="M62:M63"/>
    <mergeCell ref="F7:F8"/>
    <mergeCell ref="B29:I29"/>
    <mergeCell ref="B5:F5"/>
  </mergeCells>
  <pageMargins left="0.55118110236220474" right="0.23622047244094491" top="0.98425196850393704" bottom="0.98425196850393704" header="0.51181102362204722" footer="0.51181102362204722"/>
  <pageSetup paperSize="9" scale="95"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R43"/>
  <sheetViews>
    <sheetView zoomScale="110" zoomScaleNormal="110" workbookViewId="0">
      <selection sqref="A1:O44"/>
    </sheetView>
  </sheetViews>
  <sheetFormatPr defaultRowHeight="14.25"/>
  <cols>
    <col min="1" max="1" width="5" style="1" customWidth="1"/>
    <col min="2" max="2" width="9.7109375" style="1" customWidth="1"/>
    <col min="3" max="3" width="11.7109375" style="7" customWidth="1"/>
    <col min="4" max="4" width="9.140625" style="68" customWidth="1"/>
    <col min="5" max="5" width="11.42578125" style="7" customWidth="1"/>
    <col min="6" max="6" width="8.85546875" style="7" customWidth="1"/>
    <col min="7" max="7" width="8.28515625" style="7" customWidth="1"/>
    <col min="8" max="8" width="8.85546875" style="7" customWidth="1"/>
    <col min="9" max="9" width="10.42578125" style="7" customWidth="1"/>
    <col min="10" max="10" width="11" style="7" customWidth="1"/>
    <col min="11" max="11" width="7.85546875" style="7" customWidth="1"/>
    <col min="12" max="12" width="8.5703125" style="7" customWidth="1"/>
    <col min="13" max="13" width="8.85546875" style="7" customWidth="1"/>
    <col min="14" max="14" width="8.85546875" style="105" customWidth="1"/>
    <col min="15" max="15" width="9.5703125" style="105" customWidth="1"/>
    <col min="16" max="16384" width="9.140625" style="1"/>
  </cols>
  <sheetData>
    <row r="1" spans="2:18">
      <c r="L1" s="105" t="s">
        <v>107</v>
      </c>
    </row>
    <row r="2" spans="2:18" ht="25.5">
      <c r="B2" s="71"/>
      <c r="C2" s="72" t="str">
        <f>'Исх данные'!A6</f>
        <v>Сопроводительная №</v>
      </c>
      <c r="F2" s="72">
        <f>'Исх данные'!H6</f>
        <v>0</v>
      </c>
    </row>
    <row r="3" spans="2:18">
      <c r="G3" s="278" t="s">
        <v>14</v>
      </c>
      <c r="H3" s="278"/>
      <c r="I3" s="278"/>
      <c r="J3" s="278"/>
      <c r="K3" s="278"/>
    </row>
    <row r="4" spans="2:18">
      <c r="G4" s="1"/>
      <c r="H4" s="1"/>
      <c r="I4" s="1"/>
      <c r="J4" s="1"/>
      <c r="K4" s="1"/>
    </row>
    <row r="5" spans="2:18" ht="15">
      <c r="G5" s="279" t="s">
        <v>18</v>
      </c>
      <c r="H5" s="280"/>
      <c r="I5" s="280"/>
      <c r="J5" s="280"/>
      <c r="K5" s="280"/>
    </row>
    <row r="7" spans="2:18" s="6" customFormat="1" ht="46.5" customHeight="1">
      <c r="B7" s="5" t="s">
        <v>13</v>
      </c>
      <c r="C7" s="5" t="s">
        <v>12</v>
      </c>
      <c r="D7" s="5" t="s">
        <v>68</v>
      </c>
      <c r="E7" s="5" t="s">
        <v>11</v>
      </c>
      <c r="F7" s="5" t="s">
        <v>68</v>
      </c>
      <c r="G7" s="5" t="s">
        <v>10</v>
      </c>
      <c r="H7" s="5" t="s">
        <v>9</v>
      </c>
      <c r="I7" s="5" t="s">
        <v>8</v>
      </c>
      <c r="J7" s="5" t="s">
        <v>7</v>
      </c>
      <c r="K7" s="5" t="s">
        <v>6</v>
      </c>
      <c r="L7" s="5" t="s">
        <v>5</v>
      </c>
      <c r="M7" s="5" t="s">
        <v>4</v>
      </c>
      <c r="N7" s="103" t="s">
        <v>112</v>
      </c>
      <c r="O7" s="103" t="s">
        <v>96</v>
      </c>
    </row>
    <row r="8" spans="2:18" ht="15">
      <c r="B8" s="4">
        <f>Ножницы!A9</f>
        <v>0</v>
      </c>
      <c r="C8" s="2">
        <f>IF('Исх данные'!T9=1,'Исх данные'!G9,0)</f>
        <v>0</v>
      </c>
      <c r="D8" s="2">
        <f>IF('Исх данные'!T9=1,'Исх данные'!Q9,0)</f>
        <v>0</v>
      </c>
      <c r="E8" s="2">
        <f>IF('Исх данные'!T9=1,'Исх данные'!H9,0)</f>
        <v>0</v>
      </c>
      <c r="F8" s="2">
        <f>IF('Исх данные'!T9=1,'Исх данные'!Q9,0)</f>
        <v>0</v>
      </c>
      <c r="G8" s="2">
        <f>C8+78</f>
        <v>78</v>
      </c>
      <c r="H8" s="2">
        <f>E8+78</f>
        <v>78</v>
      </c>
      <c r="I8" s="3">
        <f>ROUNDDOWN((E8-4)/25,0)</f>
        <v>0</v>
      </c>
      <c r="J8" s="3">
        <f t="shared" ref="J8:J19" si="0">C8-10</f>
        <v>-10</v>
      </c>
      <c r="K8" s="3">
        <f>F8*2</f>
        <v>0</v>
      </c>
      <c r="L8" s="2">
        <f t="shared" ref="L8:L19" si="1">F8*2</f>
        <v>0</v>
      </c>
      <c r="M8" s="2">
        <f t="shared" ref="M8:M19" si="2">I8*F8</f>
        <v>0</v>
      </c>
      <c r="N8" s="2"/>
      <c r="O8" s="2"/>
      <c r="P8" s="1">
        <f>M8/4*0.015</f>
        <v>0</v>
      </c>
      <c r="Q8" s="1">
        <f>K8*0.015</f>
        <v>0</v>
      </c>
      <c r="R8" s="1">
        <f>P8+Q8</f>
        <v>0</v>
      </c>
    </row>
    <row r="9" spans="2:18" ht="15">
      <c r="B9" s="4">
        <f>Ножницы!A10</f>
        <v>0</v>
      </c>
      <c r="C9" s="2">
        <f>IF('Исх данные'!T10=1,'Исх данные'!G10,0)</f>
        <v>0</v>
      </c>
      <c r="D9" s="2">
        <f>IF('Исх данные'!T10=1,'Исх данные'!Q10,0)</f>
        <v>0</v>
      </c>
      <c r="E9" s="2">
        <f>IF('Исх данные'!T10=1,'Исх данные'!H10,0)</f>
        <v>0</v>
      </c>
      <c r="F9" s="2">
        <f>IF('Исх данные'!T10=1,'Исх данные'!Q10,0)</f>
        <v>0</v>
      </c>
      <c r="G9" s="2">
        <f t="shared" ref="G9:G15" si="3">C9+78</f>
        <v>78</v>
      </c>
      <c r="H9" s="2">
        <f t="shared" ref="H9:H15" si="4">E9+78</f>
        <v>78</v>
      </c>
      <c r="I9" s="3">
        <f t="shared" ref="I9:I15" si="5">ROUNDDOWN((E9-4)/25,0)</f>
        <v>0</v>
      </c>
      <c r="J9" s="3">
        <f t="shared" si="0"/>
        <v>-10</v>
      </c>
      <c r="K9" s="3">
        <f t="shared" ref="K9:K15" si="6">F9*2</f>
        <v>0</v>
      </c>
      <c r="L9" s="2">
        <f t="shared" si="1"/>
        <v>0</v>
      </c>
      <c r="M9" s="2">
        <f t="shared" si="2"/>
        <v>0</v>
      </c>
      <c r="N9" s="2"/>
      <c r="O9" s="2"/>
    </row>
    <row r="10" spans="2:18" ht="15">
      <c r="B10" s="4">
        <f>Ножницы!A11</f>
        <v>0</v>
      </c>
      <c r="C10" s="2">
        <f>IF('Исх данные'!T11=1,'Исх данные'!G11,0)</f>
        <v>0</v>
      </c>
      <c r="D10" s="2">
        <f>IF('Исх данные'!T11=1,'Исх данные'!Q11,0)</f>
        <v>0</v>
      </c>
      <c r="E10" s="2">
        <f>IF('Исх данные'!T11=1,'Исх данные'!H11,0)</f>
        <v>0</v>
      </c>
      <c r="F10" s="2">
        <f>IF('Исх данные'!T11=1,'Исх данные'!Q11,0)</f>
        <v>0</v>
      </c>
      <c r="G10" s="2">
        <f t="shared" si="3"/>
        <v>78</v>
      </c>
      <c r="H10" s="2">
        <f t="shared" si="4"/>
        <v>78</v>
      </c>
      <c r="I10" s="3">
        <f t="shared" si="5"/>
        <v>0</v>
      </c>
      <c r="J10" s="3">
        <f t="shared" si="0"/>
        <v>-10</v>
      </c>
      <c r="K10" s="3">
        <f t="shared" si="6"/>
        <v>0</v>
      </c>
      <c r="L10" s="2">
        <f t="shared" si="1"/>
        <v>0</v>
      </c>
      <c r="M10" s="2">
        <f t="shared" si="2"/>
        <v>0</v>
      </c>
      <c r="N10" s="2"/>
      <c r="O10" s="2"/>
    </row>
    <row r="11" spans="2:18" ht="15">
      <c r="B11" s="4">
        <f>Ножницы!A12</f>
        <v>0</v>
      </c>
      <c r="C11" s="2">
        <f>IF('Исх данные'!T12=1,'Исх данные'!G12,0)</f>
        <v>0</v>
      </c>
      <c r="D11" s="2">
        <f>IF('Исх данные'!T12=1,'Исх данные'!Q12,0)</f>
        <v>0</v>
      </c>
      <c r="E11" s="2">
        <f>IF('Исх данные'!T12=1,'Исх данные'!H12,0)</f>
        <v>0</v>
      </c>
      <c r="F11" s="2">
        <f>IF('Исх данные'!T12=1,'Исх данные'!Q12,0)</f>
        <v>0</v>
      </c>
      <c r="G11" s="2">
        <f t="shared" si="3"/>
        <v>78</v>
      </c>
      <c r="H11" s="2">
        <f t="shared" si="4"/>
        <v>78</v>
      </c>
      <c r="I11" s="3">
        <f t="shared" si="5"/>
        <v>0</v>
      </c>
      <c r="J11" s="3">
        <f t="shared" si="0"/>
        <v>-10</v>
      </c>
      <c r="K11" s="3">
        <f t="shared" si="6"/>
        <v>0</v>
      </c>
      <c r="L11" s="2">
        <f t="shared" si="1"/>
        <v>0</v>
      </c>
      <c r="M11" s="2">
        <f t="shared" si="2"/>
        <v>0</v>
      </c>
      <c r="N11" s="2"/>
      <c r="O11" s="2"/>
    </row>
    <row r="12" spans="2:18" ht="15">
      <c r="B12" s="4">
        <f>Ножницы!A13</f>
        <v>0</v>
      </c>
      <c r="C12" s="2">
        <f>IF('Исх данные'!T13=1,'Исх данные'!G13,0)</f>
        <v>0</v>
      </c>
      <c r="D12" s="2">
        <f>IF('Исх данные'!T13=1,'Исх данные'!Q13,0)</f>
        <v>0</v>
      </c>
      <c r="E12" s="2">
        <f>IF('Исх данные'!T13=1,'Исх данные'!H13,0)</f>
        <v>0</v>
      </c>
      <c r="F12" s="2">
        <f>IF('Исх данные'!T13=1,'Исх данные'!Q13,0)</f>
        <v>0</v>
      </c>
      <c r="G12" s="2">
        <f t="shared" si="3"/>
        <v>78</v>
      </c>
      <c r="H12" s="2">
        <f t="shared" si="4"/>
        <v>78</v>
      </c>
      <c r="I12" s="3">
        <f t="shared" si="5"/>
        <v>0</v>
      </c>
      <c r="J12" s="3">
        <f t="shared" si="0"/>
        <v>-10</v>
      </c>
      <c r="K12" s="3">
        <f t="shared" si="6"/>
        <v>0</v>
      </c>
      <c r="L12" s="2">
        <f t="shared" si="1"/>
        <v>0</v>
      </c>
      <c r="M12" s="2">
        <f t="shared" si="2"/>
        <v>0</v>
      </c>
      <c r="N12" s="2"/>
      <c r="O12" s="2"/>
    </row>
    <row r="13" spans="2:18" ht="15">
      <c r="B13" s="4">
        <f>Ножницы!A14</f>
        <v>0</v>
      </c>
      <c r="C13" s="2">
        <f>IF('Исх данные'!T14=1,'Исх данные'!G14,0)</f>
        <v>0</v>
      </c>
      <c r="D13" s="2">
        <f>IF('Исх данные'!T14=1,'Исх данные'!Q14,0)</f>
        <v>0</v>
      </c>
      <c r="E13" s="2">
        <f>IF('Исх данные'!T14=1,'Исх данные'!H14,0)</f>
        <v>0</v>
      </c>
      <c r="F13" s="2">
        <f>IF('Исх данные'!T14=1,'Исх данные'!Q14,0)</f>
        <v>0</v>
      </c>
      <c r="G13" s="2">
        <f t="shared" si="3"/>
        <v>78</v>
      </c>
      <c r="H13" s="2">
        <f t="shared" si="4"/>
        <v>78</v>
      </c>
      <c r="I13" s="3">
        <f t="shared" si="5"/>
        <v>0</v>
      </c>
      <c r="J13" s="3">
        <f t="shared" si="0"/>
        <v>-10</v>
      </c>
      <c r="K13" s="3">
        <f t="shared" si="6"/>
        <v>0</v>
      </c>
      <c r="L13" s="2">
        <f t="shared" si="1"/>
        <v>0</v>
      </c>
      <c r="M13" s="2">
        <f t="shared" si="2"/>
        <v>0</v>
      </c>
      <c r="N13" s="2"/>
      <c r="O13" s="2"/>
    </row>
    <row r="14" spans="2:18" ht="15">
      <c r="B14" s="4">
        <f>Ножницы!A15</f>
        <v>0</v>
      </c>
      <c r="C14" s="2">
        <f>IF('Исх данные'!T15=1,'Исх данные'!G15,0)</f>
        <v>0</v>
      </c>
      <c r="D14" s="2">
        <f>IF('Исх данные'!T15=1,'Исх данные'!Q15,0)</f>
        <v>0</v>
      </c>
      <c r="E14" s="2">
        <f>IF('Исх данные'!T15=1,'Исх данные'!H15,0)</f>
        <v>0</v>
      </c>
      <c r="F14" s="2">
        <f>IF('Исх данные'!T15=1,'Исх данные'!Q15,0)</f>
        <v>0</v>
      </c>
      <c r="G14" s="2">
        <f t="shared" si="3"/>
        <v>78</v>
      </c>
      <c r="H14" s="2">
        <f t="shared" si="4"/>
        <v>78</v>
      </c>
      <c r="I14" s="3">
        <f t="shared" si="5"/>
        <v>0</v>
      </c>
      <c r="J14" s="3">
        <f t="shared" si="0"/>
        <v>-10</v>
      </c>
      <c r="K14" s="3">
        <f t="shared" si="6"/>
        <v>0</v>
      </c>
      <c r="L14" s="2">
        <f t="shared" si="1"/>
        <v>0</v>
      </c>
      <c r="M14" s="2">
        <f t="shared" si="2"/>
        <v>0</v>
      </c>
      <c r="N14" s="2"/>
      <c r="O14" s="2"/>
    </row>
    <row r="15" spans="2:18" ht="15">
      <c r="B15" s="4">
        <f>Ножницы!A16</f>
        <v>0</v>
      </c>
      <c r="C15" s="2">
        <f>IF('Исх данные'!T16=1,'Исх данные'!G16,0)</f>
        <v>0</v>
      </c>
      <c r="D15" s="2">
        <f>IF('Исх данные'!T16=1,'Исх данные'!Q16,0)</f>
        <v>0</v>
      </c>
      <c r="E15" s="2">
        <f>IF('Исх данные'!T16=1,'Исх данные'!H16,0)</f>
        <v>0</v>
      </c>
      <c r="F15" s="2">
        <f>IF('Исх данные'!T16=1,'Исх данные'!Q16,0)</f>
        <v>0</v>
      </c>
      <c r="G15" s="2">
        <f t="shared" si="3"/>
        <v>78</v>
      </c>
      <c r="H15" s="2">
        <f t="shared" si="4"/>
        <v>78</v>
      </c>
      <c r="I15" s="3">
        <f t="shared" si="5"/>
        <v>0</v>
      </c>
      <c r="J15" s="3">
        <f t="shared" si="0"/>
        <v>-10</v>
      </c>
      <c r="K15" s="3">
        <f t="shared" si="6"/>
        <v>0</v>
      </c>
      <c r="L15" s="2">
        <f t="shared" si="1"/>
        <v>0</v>
      </c>
      <c r="M15" s="2">
        <f t="shared" si="2"/>
        <v>0</v>
      </c>
      <c r="N15" s="2"/>
      <c r="O15" s="2"/>
    </row>
    <row r="16" spans="2:18" ht="15">
      <c r="B16" s="4">
        <f>Ножницы!A17</f>
        <v>0</v>
      </c>
      <c r="C16" s="2">
        <f>IF('Исх данные'!T17=1,'Исх данные'!G17,0)</f>
        <v>0</v>
      </c>
      <c r="D16" s="2">
        <f>IF('Исх данные'!T17=1,'Исх данные'!Q17,0)</f>
        <v>0</v>
      </c>
      <c r="E16" s="2">
        <f>IF('Исх данные'!T17=1,'Исх данные'!H17,0)</f>
        <v>0</v>
      </c>
      <c r="F16" s="2">
        <f>IF('Исх данные'!T17=1,'Исх данные'!Q17,0)</f>
        <v>0</v>
      </c>
      <c r="G16" s="2">
        <f>C16+78</f>
        <v>78</v>
      </c>
      <c r="H16" s="2">
        <f>E16+78</f>
        <v>78</v>
      </c>
      <c r="I16" s="3">
        <f>ROUNDDOWN((E16-4)/25,0)</f>
        <v>0</v>
      </c>
      <c r="J16" s="3">
        <f t="shared" si="0"/>
        <v>-10</v>
      </c>
      <c r="K16" s="3">
        <f>F16*2</f>
        <v>0</v>
      </c>
      <c r="L16" s="2">
        <f t="shared" si="1"/>
        <v>0</v>
      </c>
      <c r="M16" s="2">
        <f t="shared" si="2"/>
        <v>0</v>
      </c>
      <c r="N16" s="2"/>
      <c r="O16" s="2"/>
    </row>
    <row r="17" spans="2:18" ht="15">
      <c r="B17" s="4">
        <f>Ножницы!A18</f>
        <v>0</v>
      </c>
      <c r="C17" s="2">
        <f>IF('Исх данные'!T18=1,'Исх данные'!G18,0)</f>
        <v>0</v>
      </c>
      <c r="D17" s="2">
        <f>IF('Исх данные'!T18=1,'Исх данные'!Q18,0)</f>
        <v>0</v>
      </c>
      <c r="E17" s="2">
        <f>IF('Исх данные'!T18=1,'Исх данные'!H18,0)</f>
        <v>0</v>
      </c>
      <c r="F17" s="2">
        <f>IF('Исх данные'!T18=1,'Исх данные'!Q18,0)</f>
        <v>0</v>
      </c>
      <c r="G17" s="2">
        <f>C17+78</f>
        <v>78</v>
      </c>
      <c r="H17" s="2">
        <f>E17+78</f>
        <v>78</v>
      </c>
      <c r="I17" s="3">
        <f>ROUNDDOWN((E17-4)/25,0)</f>
        <v>0</v>
      </c>
      <c r="J17" s="3">
        <f t="shared" si="0"/>
        <v>-10</v>
      </c>
      <c r="K17" s="3">
        <f>F17*2</f>
        <v>0</v>
      </c>
      <c r="L17" s="2">
        <f t="shared" si="1"/>
        <v>0</v>
      </c>
      <c r="M17" s="2">
        <f t="shared" si="2"/>
        <v>0</v>
      </c>
      <c r="N17" s="2"/>
      <c r="O17" s="2"/>
    </row>
    <row r="18" spans="2:18" ht="15">
      <c r="B18" s="4">
        <f>Ножницы!A19</f>
        <v>0</v>
      </c>
      <c r="C18" s="2">
        <f>IF('Исх данные'!T19=1,'Исх данные'!G19,0)</f>
        <v>0</v>
      </c>
      <c r="D18" s="2">
        <f>IF('Исх данные'!T19=1,'Исх данные'!Q19,0)</f>
        <v>0</v>
      </c>
      <c r="E18" s="2">
        <f>IF('Исх данные'!T19=1,'Исх данные'!H19,0)</f>
        <v>0</v>
      </c>
      <c r="F18" s="2">
        <f>IF('Исх данные'!T19=1,'Исх данные'!Q19,0)</f>
        <v>0</v>
      </c>
      <c r="G18" s="2">
        <f>C18+78</f>
        <v>78</v>
      </c>
      <c r="H18" s="2">
        <f>E18+78</f>
        <v>78</v>
      </c>
      <c r="I18" s="3">
        <f>ROUNDDOWN((E18-4)/25,0)</f>
        <v>0</v>
      </c>
      <c r="J18" s="3">
        <f t="shared" si="0"/>
        <v>-10</v>
      </c>
      <c r="K18" s="3">
        <f>F18*2</f>
        <v>0</v>
      </c>
      <c r="L18" s="2">
        <f t="shared" si="1"/>
        <v>0</v>
      </c>
      <c r="M18" s="2">
        <f t="shared" si="2"/>
        <v>0</v>
      </c>
      <c r="N18" s="2"/>
      <c r="O18" s="2"/>
    </row>
    <row r="19" spans="2:18" ht="15">
      <c r="B19" s="4">
        <f>Ножницы!A20</f>
        <v>0</v>
      </c>
      <c r="C19" s="2">
        <f>IF('Исх данные'!T20=1,'Исх данные'!G20,0)</f>
        <v>0</v>
      </c>
      <c r="D19" s="2">
        <f>IF('Исх данные'!T20=1,'Исх данные'!Q20,0)</f>
        <v>0</v>
      </c>
      <c r="E19" s="2">
        <f>IF('Исх данные'!T20=1,'Исх данные'!H20,0)</f>
        <v>0</v>
      </c>
      <c r="F19" s="2">
        <f>IF('Исх данные'!T20=1,'Исх данные'!Q20,0)</f>
        <v>0</v>
      </c>
      <c r="G19" s="2">
        <f>C19+78</f>
        <v>78</v>
      </c>
      <c r="H19" s="2">
        <f>E19+78</f>
        <v>78</v>
      </c>
      <c r="I19" s="3">
        <f>ROUNDDOWN((E19-4)/25,0)</f>
        <v>0</v>
      </c>
      <c r="J19" s="3">
        <f t="shared" si="0"/>
        <v>-10</v>
      </c>
      <c r="K19" s="3">
        <f>F19*2</f>
        <v>0</v>
      </c>
      <c r="L19" s="2">
        <f t="shared" si="1"/>
        <v>0</v>
      </c>
      <c r="M19" s="2">
        <f t="shared" si="2"/>
        <v>0</v>
      </c>
      <c r="N19" s="2"/>
      <c r="O19" s="2"/>
    </row>
    <row r="20" spans="2:18" ht="15">
      <c r="B20" s="4">
        <f>Ножницы!A21</f>
        <v>0</v>
      </c>
      <c r="C20" s="2">
        <f>IF('Исх данные'!T21=1,'Исх данные'!G21,0)</f>
        <v>0</v>
      </c>
      <c r="D20" s="2">
        <f>IF('Исх данные'!T21=1,'Исх данные'!Q21,0)</f>
        <v>0</v>
      </c>
      <c r="E20" s="2">
        <f>IF('Исх данные'!T21=1,'Исх данные'!H21,0)</f>
        <v>0</v>
      </c>
      <c r="F20" s="2">
        <f>IF('Исх данные'!T21=1,'Исх данные'!Q21,0)</f>
        <v>0</v>
      </c>
      <c r="G20" s="2">
        <f t="shared" ref="G20:G27" si="7">C20+78</f>
        <v>78</v>
      </c>
      <c r="H20" s="2">
        <f t="shared" ref="H20:H27" si="8">E20+78</f>
        <v>78</v>
      </c>
      <c r="I20" s="3">
        <f t="shared" ref="I20:I27" si="9">ROUNDDOWN((E20-4)/25,0)</f>
        <v>0</v>
      </c>
      <c r="J20" s="3">
        <f t="shared" ref="J20:J27" si="10">C20-10</f>
        <v>-10</v>
      </c>
      <c r="K20" s="3">
        <f t="shared" ref="K20:K27" si="11">F20*2</f>
        <v>0</v>
      </c>
      <c r="L20" s="2">
        <f t="shared" ref="L20:L27" si="12">F20*2</f>
        <v>0</v>
      </c>
      <c r="M20" s="2">
        <f t="shared" ref="M20:M27" si="13">I20*F20</f>
        <v>0</v>
      </c>
      <c r="N20" s="2"/>
      <c r="O20" s="2"/>
    </row>
    <row r="21" spans="2:18" ht="15">
      <c r="B21" s="4">
        <f>Ножницы!A22</f>
        <v>0</v>
      </c>
      <c r="C21" s="2">
        <f>IF('Исх данные'!T22=1,'Исх данные'!G22,0)</f>
        <v>0</v>
      </c>
      <c r="D21" s="2">
        <f>IF('Исх данные'!T22=1,'Исх данные'!Q22,0)</f>
        <v>0</v>
      </c>
      <c r="E21" s="2">
        <f>IF('Исх данные'!T22=1,'Исх данные'!H22,0)</f>
        <v>0</v>
      </c>
      <c r="F21" s="2">
        <f>IF('Исх данные'!T22=1,'Исх данные'!Q22,0)</f>
        <v>0</v>
      </c>
      <c r="G21" s="2">
        <f t="shared" si="7"/>
        <v>78</v>
      </c>
      <c r="H21" s="2">
        <f t="shared" si="8"/>
        <v>78</v>
      </c>
      <c r="I21" s="3">
        <f t="shared" si="9"/>
        <v>0</v>
      </c>
      <c r="J21" s="3">
        <f t="shared" si="10"/>
        <v>-10</v>
      </c>
      <c r="K21" s="3">
        <f t="shared" si="11"/>
        <v>0</v>
      </c>
      <c r="L21" s="2">
        <f t="shared" si="12"/>
        <v>0</v>
      </c>
      <c r="M21" s="2">
        <f t="shared" si="13"/>
        <v>0</v>
      </c>
      <c r="N21" s="2"/>
      <c r="O21" s="2"/>
    </row>
    <row r="22" spans="2:18" ht="15">
      <c r="B22" s="4">
        <f>Ножницы!A23</f>
        <v>0</v>
      </c>
      <c r="C22" s="2">
        <f>IF('Исх данные'!T23=1,'Исх данные'!G23,0)</f>
        <v>0</v>
      </c>
      <c r="D22" s="2">
        <f>IF('Исх данные'!T23=1,'Исх данные'!Q23,0)</f>
        <v>0</v>
      </c>
      <c r="E22" s="2">
        <f>IF('Исх данные'!T23=1,'Исх данные'!H23,0)</f>
        <v>0</v>
      </c>
      <c r="F22" s="2">
        <f>IF('Исх данные'!T23=1,'Исх данные'!Q23,0)</f>
        <v>0</v>
      </c>
      <c r="G22" s="2">
        <f t="shared" si="7"/>
        <v>78</v>
      </c>
      <c r="H22" s="2">
        <f t="shared" si="8"/>
        <v>78</v>
      </c>
      <c r="I22" s="3">
        <f t="shared" si="9"/>
        <v>0</v>
      </c>
      <c r="J22" s="3">
        <f t="shared" si="10"/>
        <v>-10</v>
      </c>
      <c r="K22" s="3">
        <f t="shared" si="11"/>
        <v>0</v>
      </c>
      <c r="L22" s="2">
        <f t="shared" si="12"/>
        <v>0</v>
      </c>
      <c r="M22" s="2">
        <f t="shared" si="13"/>
        <v>0</v>
      </c>
      <c r="N22" s="2"/>
      <c r="O22" s="2"/>
    </row>
    <row r="23" spans="2:18" ht="15">
      <c r="B23" s="4">
        <f>Ножницы!A24</f>
        <v>0</v>
      </c>
      <c r="C23" s="2">
        <f>IF('Исх данные'!T24=1,'Исх данные'!G24,0)</f>
        <v>0</v>
      </c>
      <c r="D23" s="2">
        <f>IF('Исх данные'!T24=1,'Исх данные'!Q24,0)</f>
        <v>0</v>
      </c>
      <c r="E23" s="2">
        <f>IF('Исх данные'!T24=1,'Исх данные'!H24,0)</f>
        <v>0</v>
      </c>
      <c r="F23" s="2">
        <f>IF('Исх данные'!T24=1,'Исх данные'!Q24,0)</f>
        <v>0</v>
      </c>
      <c r="G23" s="2">
        <f t="shared" si="7"/>
        <v>78</v>
      </c>
      <c r="H23" s="2">
        <f t="shared" si="8"/>
        <v>78</v>
      </c>
      <c r="I23" s="3">
        <f t="shared" si="9"/>
        <v>0</v>
      </c>
      <c r="J23" s="3">
        <f t="shared" si="10"/>
        <v>-10</v>
      </c>
      <c r="K23" s="3">
        <f t="shared" si="11"/>
        <v>0</v>
      </c>
      <c r="L23" s="2">
        <f t="shared" si="12"/>
        <v>0</v>
      </c>
      <c r="M23" s="2">
        <f t="shared" si="13"/>
        <v>0</v>
      </c>
      <c r="N23" s="2"/>
      <c r="O23" s="2"/>
    </row>
    <row r="24" spans="2:18" ht="15">
      <c r="B24" s="4">
        <f>Ножницы!A25</f>
        <v>0</v>
      </c>
      <c r="C24" s="2">
        <f>IF('Исх данные'!T25=1,'Исх данные'!G25,0)</f>
        <v>0</v>
      </c>
      <c r="D24" s="2">
        <f>IF('Исх данные'!T25=1,'Исх данные'!Q25,0)</f>
        <v>0</v>
      </c>
      <c r="E24" s="2">
        <f>IF('Исх данные'!T25=1,'Исх данные'!H25,0)</f>
        <v>0</v>
      </c>
      <c r="F24" s="2">
        <f>IF('Исх данные'!T25=1,'Исх данные'!Q25,0)</f>
        <v>0</v>
      </c>
      <c r="G24" s="2">
        <f t="shared" si="7"/>
        <v>78</v>
      </c>
      <c r="H24" s="2">
        <f t="shared" si="8"/>
        <v>78</v>
      </c>
      <c r="I24" s="3">
        <f t="shared" si="9"/>
        <v>0</v>
      </c>
      <c r="J24" s="3">
        <f t="shared" si="10"/>
        <v>-10</v>
      </c>
      <c r="K24" s="3">
        <f t="shared" si="11"/>
        <v>0</v>
      </c>
      <c r="L24" s="2">
        <f t="shared" si="12"/>
        <v>0</v>
      </c>
      <c r="M24" s="2">
        <f t="shared" si="13"/>
        <v>0</v>
      </c>
      <c r="N24" s="2"/>
      <c r="O24" s="2"/>
    </row>
    <row r="25" spans="2:18" ht="15">
      <c r="B25" s="4">
        <f>Ножницы!A26</f>
        <v>0</v>
      </c>
      <c r="C25" s="2">
        <f>IF('Исх данные'!T26=1,'Исх данные'!G26,0)</f>
        <v>0</v>
      </c>
      <c r="D25" s="2">
        <f>IF('Исх данные'!T26=1,'Исх данные'!Q26,0)</f>
        <v>0</v>
      </c>
      <c r="E25" s="2">
        <f>IF('Исх данные'!T26=1,'Исх данные'!H26,0)</f>
        <v>0</v>
      </c>
      <c r="F25" s="2">
        <f>IF('Исх данные'!T26=1,'Исх данные'!Q26,0)</f>
        <v>0</v>
      </c>
      <c r="G25" s="2">
        <f t="shared" si="7"/>
        <v>78</v>
      </c>
      <c r="H25" s="2">
        <f t="shared" si="8"/>
        <v>78</v>
      </c>
      <c r="I25" s="3">
        <f t="shared" si="9"/>
        <v>0</v>
      </c>
      <c r="J25" s="3">
        <f t="shared" si="10"/>
        <v>-10</v>
      </c>
      <c r="K25" s="3">
        <f t="shared" si="11"/>
        <v>0</v>
      </c>
      <c r="L25" s="2">
        <f t="shared" si="12"/>
        <v>0</v>
      </c>
      <c r="M25" s="2">
        <f t="shared" si="13"/>
        <v>0</v>
      </c>
      <c r="N25" s="2"/>
      <c r="O25" s="2"/>
    </row>
    <row r="26" spans="2:18" ht="15">
      <c r="B26" s="4">
        <f>Ножницы!A27</f>
        <v>0</v>
      </c>
      <c r="C26" s="2">
        <f>IF('Исх данные'!T27=1,'Исх данные'!G27,0)</f>
        <v>0</v>
      </c>
      <c r="D26" s="2">
        <f>IF('Исх данные'!T27=1,'Исх данные'!Q27,0)</f>
        <v>0</v>
      </c>
      <c r="E26" s="2">
        <f>IF('Исх данные'!T27=1,'Исх данные'!H27,0)</f>
        <v>0</v>
      </c>
      <c r="F26" s="2">
        <f>IF('Исх данные'!T27=1,'Исх данные'!Q27,0)</f>
        <v>0</v>
      </c>
      <c r="G26" s="2">
        <f t="shared" si="7"/>
        <v>78</v>
      </c>
      <c r="H26" s="2">
        <f t="shared" si="8"/>
        <v>78</v>
      </c>
      <c r="I26" s="3">
        <f t="shared" si="9"/>
        <v>0</v>
      </c>
      <c r="J26" s="3">
        <f t="shared" si="10"/>
        <v>-10</v>
      </c>
      <c r="K26" s="3">
        <f t="shared" si="11"/>
        <v>0</v>
      </c>
      <c r="L26" s="2">
        <f t="shared" si="12"/>
        <v>0</v>
      </c>
      <c r="M26" s="2">
        <f t="shared" si="13"/>
        <v>0</v>
      </c>
      <c r="N26" s="2"/>
      <c r="O26" s="2"/>
    </row>
    <row r="27" spans="2:18" ht="15">
      <c r="B27" s="4">
        <f>Ножницы!A28</f>
        <v>0</v>
      </c>
      <c r="C27" s="2">
        <f>IF('Исх данные'!T28=1,'Исх данные'!G28,0)</f>
        <v>0</v>
      </c>
      <c r="D27" s="2">
        <f>IF('Исх данные'!T28=1,'Исх данные'!Q28,0)</f>
        <v>0</v>
      </c>
      <c r="E27" s="2">
        <f>IF('Исх данные'!T28=1,'Исх данные'!H28,0)</f>
        <v>0</v>
      </c>
      <c r="F27" s="2">
        <f>IF('Исх данные'!T28=1,'Исх данные'!Q28,0)</f>
        <v>0</v>
      </c>
      <c r="G27" s="2">
        <f t="shared" si="7"/>
        <v>78</v>
      </c>
      <c r="H27" s="2">
        <f t="shared" si="8"/>
        <v>78</v>
      </c>
      <c r="I27" s="3">
        <f t="shared" si="9"/>
        <v>0</v>
      </c>
      <c r="J27" s="3">
        <f t="shared" si="10"/>
        <v>-10</v>
      </c>
      <c r="K27" s="3">
        <f t="shared" si="11"/>
        <v>0</v>
      </c>
      <c r="L27" s="2">
        <f t="shared" si="12"/>
        <v>0</v>
      </c>
      <c r="M27" s="2">
        <f t="shared" si="13"/>
        <v>0</v>
      </c>
      <c r="N27" s="2"/>
      <c r="O27" s="2"/>
    </row>
    <row r="28" spans="2:18">
      <c r="R28" s="1">
        <f>SUM(R8:R27)</f>
        <v>0</v>
      </c>
    </row>
    <row r="31" spans="2:18">
      <c r="B31" s="1" t="s">
        <v>16</v>
      </c>
      <c r="C31" s="7" t="s">
        <v>15</v>
      </c>
      <c r="E31" s="7" t="s">
        <v>17</v>
      </c>
      <c r="G31" s="7">
        <f>R28</f>
        <v>0</v>
      </c>
    </row>
    <row r="32" spans="2:18" ht="15">
      <c r="B32" s="64"/>
      <c r="C32" s="64"/>
      <c r="D32" s="64"/>
      <c r="E32" s="64"/>
      <c r="F32" s="64"/>
      <c r="G32" s="64"/>
    </row>
    <row r="33" spans="2:11" ht="21">
      <c r="B33" s="64"/>
      <c r="C33" s="65" t="s">
        <v>49</v>
      </c>
      <c r="D33" s="65"/>
      <c r="E33" s="65"/>
      <c r="F33" s="65"/>
      <c r="G33" s="65"/>
      <c r="K33" s="105" t="s">
        <v>107</v>
      </c>
    </row>
    <row r="34" spans="2:11" ht="18.75">
      <c r="B34" s="64"/>
      <c r="C34" s="66" t="s">
        <v>45</v>
      </c>
      <c r="D34" s="66"/>
      <c r="E34" s="66"/>
      <c r="F34" s="66"/>
      <c r="G34" s="66">
        <f>'Исх данные'!H6</f>
        <v>0</v>
      </c>
    </row>
    <row r="35" spans="2:11" ht="18.75">
      <c r="B35" s="64"/>
      <c r="C35" s="66" t="s">
        <v>73</v>
      </c>
      <c r="D35" s="66"/>
      <c r="E35" s="66"/>
      <c r="F35" s="64"/>
      <c r="G35" s="64"/>
    </row>
    <row r="36" spans="2:11" ht="15">
      <c r="B36" s="64"/>
      <c r="C36" s="64" t="s">
        <v>50</v>
      </c>
      <c r="D36" s="64"/>
      <c r="E36" s="64"/>
      <c r="F36" s="64"/>
      <c r="G36" s="64"/>
    </row>
    <row r="37" spans="2:11" ht="15">
      <c r="B37" s="64"/>
      <c r="C37" s="64"/>
      <c r="D37" s="64"/>
      <c r="E37" s="64"/>
      <c r="F37" s="64"/>
      <c r="G37" s="64"/>
    </row>
    <row r="38" spans="2:11" ht="15">
      <c r="B38" s="64"/>
      <c r="C38" s="64" t="s">
        <v>51</v>
      </c>
      <c r="D38" s="64" t="s">
        <v>52</v>
      </c>
      <c r="E38" s="64"/>
      <c r="F38" s="64"/>
      <c r="G38" s="64" t="s">
        <v>103</v>
      </c>
    </row>
    <row r="39" spans="2:11" ht="15">
      <c r="B39" s="64"/>
      <c r="C39" s="64"/>
      <c r="D39" s="64"/>
      <c r="E39" s="64"/>
      <c r="F39" s="64"/>
      <c r="G39" s="64"/>
    </row>
    <row r="40" spans="2:11" ht="15">
      <c r="B40" s="64"/>
      <c r="C40" s="64" t="s">
        <v>53</v>
      </c>
      <c r="D40" s="64"/>
      <c r="E40" s="64"/>
      <c r="F40" s="64"/>
      <c r="G40" s="64" t="s">
        <v>103</v>
      </c>
      <c r="H40" s="105"/>
    </row>
    <row r="41" spans="2:11" ht="15">
      <c r="B41" s="64"/>
      <c r="C41" s="64"/>
      <c r="D41" s="64"/>
      <c r="E41" s="64"/>
      <c r="F41" s="64"/>
      <c r="G41" s="64"/>
    </row>
    <row r="42" spans="2:11" ht="15">
      <c r="B42" s="64"/>
      <c r="C42" s="64" t="s">
        <v>54</v>
      </c>
      <c r="D42" s="64"/>
      <c r="E42" s="64"/>
      <c r="F42" s="64"/>
      <c r="G42" s="64" t="s">
        <v>103</v>
      </c>
      <c r="H42" s="105"/>
    </row>
    <row r="43" spans="2:11" ht="15">
      <c r="B43" s="64"/>
      <c r="C43" s="64"/>
      <c r="D43" s="64"/>
      <c r="E43" s="64"/>
      <c r="F43" s="64"/>
      <c r="G43" s="64"/>
    </row>
  </sheetData>
  <mergeCells count="2">
    <mergeCell ref="G3:K3"/>
    <mergeCell ref="G5:K5"/>
  </mergeCells>
  <pageMargins left="0" right="0" top="0.74803149606299213" bottom="0.74803149606299213" header="0.31496062992125984" footer="0.31496062992125984"/>
  <pageSetup paperSize="9" scale="75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43"/>
  <sheetViews>
    <sheetView topLeftCell="A13" workbookViewId="0">
      <selection activeCell="L18" sqref="L18"/>
    </sheetView>
  </sheetViews>
  <sheetFormatPr defaultRowHeight="15"/>
  <cols>
    <col min="7" max="8" width="0" hidden="1" customWidth="1"/>
    <col min="13" max="13" width="0" hidden="1" customWidth="1"/>
    <col min="15" max="15" width="11.42578125" customWidth="1"/>
    <col min="24" max="24" width="10.7109375" bestFit="1" customWidth="1"/>
    <col min="26" max="26" width="16.42578125" customWidth="1"/>
    <col min="27" max="27" width="15.42578125" customWidth="1"/>
    <col min="28" max="28" width="0.140625" customWidth="1"/>
    <col min="29" max="29" width="14.85546875" customWidth="1"/>
    <col min="30" max="30" width="13" customWidth="1"/>
    <col min="31" max="31" width="14.85546875" customWidth="1"/>
  </cols>
  <sheetData>
    <row r="1" spans="2:31">
      <c r="E1" s="216" t="s">
        <v>134</v>
      </c>
    </row>
    <row r="2" spans="2:31" ht="31.5">
      <c r="E2" s="58" t="s">
        <v>135</v>
      </c>
      <c r="F2" s="132"/>
      <c r="G2" s="133"/>
      <c r="H2" s="133"/>
      <c r="I2" s="133"/>
      <c r="J2" s="134"/>
      <c r="K2" s="134"/>
      <c r="X2" s="200">
        <f>'Исх данные'!H6</f>
        <v>0</v>
      </c>
      <c r="Y2" s="134"/>
      <c r="Z2" s="134"/>
    </row>
    <row r="3" spans="2:31" ht="26.25">
      <c r="B3" s="306">
        <f>'Исх данные'!H6</f>
        <v>0</v>
      </c>
      <c r="C3" s="306"/>
      <c r="F3" s="136"/>
      <c r="G3" s="136"/>
      <c r="H3" s="136"/>
      <c r="I3" s="136"/>
      <c r="J3" s="134"/>
      <c r="K3" s="134"/>
    </row>
    <row r="4" spans="2:31" ht="33.75" thickBot="1">
      <c r="B4" s="306"/>
      <c r="C4" s="306"/>
      <c r="E4" s="130"/>
      <c r="F4" s="307" t="s">
        <v>136</v>
      </c>
      <c r="G4" s="307"/>
      <c r="H4" s="307"/>
      <c r="I4" s="307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307"/>
      <c r="W4" s="307"/>
      <c r="X4" s="307"/>
      <c r="Y4" s="307"/>
      <c r="Z4" s="307"/>
      <c r="AA4" s="307"/>
      <c r="AB4" s="307"/>
      <c r="AC4" s="307"/>
    </row>
    <row r="5" spans="2:31" ht="48" customHeight="1">
      <c r="B5" s="306"/>
      <c r="C5" s="306"/>
      <c r="D5" s="149"/>
      <c r="E5" s="283" t="s">
        <v>137</v>
      </c>
      <c r="F5" s="281" t="s">
        <v>138</v>
      </c>
      <c r="G5" s="152" t="s">
        <v>139</v>
      </c>
      <c r="H5" s="217" t="s">
        <v>140</v>
      </c>
      <c r="I5" s="285" t="s">
        <v>139</v>
      </c>
      <c r="J5" s="218" t="s">
        <v>141</v>
      </c>
      <c r="K5" s="218" t="s">
        <v>198</v>
      </c>
      <c r="L5" s="218" t="s">
        <v>142</v>
      </c>
      <c r="M5" s="153"/>
      <c r="N5" s="153" t="s">
        <v>198</v>
      </c>
      <c r="O5" s="287" t="s">
        <v>143</v>
      </c>
      <c r="P5" s="287" t="s">
        <v>145</v>
      </c>
      <c r="Q5" s="287"/>
      <c r="R5" s="218" t="s">
        <v>197</v>
      </c>
      <c r="S5" s="287" t="s">
        <v>143</v>
      </c>
      <c r="T5" s="300" t="s">
        <v>128</v>
      </c>
      <c r="U5" s="300"/>
      <c r="V5" s="287" t="s">
        <v>163</v>
      </c>
      <c r="W5" s="287"/>
      <c r="X5" s="300" t="s">
        <v>164</v>
      </c>
      <c r="Y5" s="300"/>
      <c r="Z5" s="219" t="s">
        <v>120</v>
      </c>
      <c r="AA5" s="300" t="s">
        <v>127</v>
      </c>
      <c r="AB5" s="300"/>
      <c r="AC5" s="153" t="s">
        <v>121</v>
      </c>
      <c r="AD5" s="156" t="s">
        <v>122</v>
      </c>
      <c r="AE5" s="157" t="s">
        <v>165</v>
      </c>
    </row>
    <row r="6" spans="2:31" ht="19.5" customHeight="1" thickBot="1">
      <c r="B6" s="306"/>
      <c r="C6" s="306"/>
      <c r="D6" s="149"/>
      <c r="E6" s="284"/>
      <c r="F6" s="282"/>
      <c r="G6" s="154"/>
      <c r="H6" s="220"/>
      <c r="I6" s="286"/>
      <c r="J6" s="155" t="s">
        <v>166</v>
      </c>
      <c r="K6" s="155" t="s">
        <v>146</v>
      </c>
      <c r="L6" s="155" t="s">
        <v>32</v>
      </c>
      <c r="M6" s="155"/>
      <c r="N6" s="155" t="s">
        <v>146</v>
      </c>
      <c r="O6" s="288"/>
      <c r="P6" s="155" t="s">
        <v>162</v>
      </c>
      <c r="Q6" s="155" t="s">
        <v>32</v>
      </c>
      <c r="R6" s="155" t="s">
        <v>146</v>
      </c>
      <c r="S6" s="288"/>
      <c r="T6" s="221" t="s">
        <v>178</v>
      </c>
      <c r="U6" s="221" t="s">
        <v>146</v>
      </c>
      <c r="V6" s="221" t="s">
        <v>178</v>
      </c>
      <c r="W6" s="221" t="s">
        <v>146</v>
      </c>
      <c r="X6" s="221" t="s">
        <v>178</v>
      </c>
      <c r="Y6" s="221" t="s">
        <v>146</v>
      </c>
      <c r="Z6" s="221" t="s">
        <v>146</v>
      </c>
      <c r="AA6" s="221" t="s">
        <v>146</v>
      </c>
      <c r="AB6" s="221" t="s">
        <v>0</v>
      </c>
      <c r="AC6" s="221" t="s">
        <v>146</v>
      </c>
      <c r="AD6" s="221" t="s">
        <v>146</v>
      </c>
      <c r="AE6" s="222" t="s">
        <v>146</v>
      </c>
    </row>
    <row r="7" spans="2:31" s="162" customFormat="1" ht="15.75">
      <c r="B7" s="306"/>
      <c r="C7" s="306"/>
      <c r="E7" s="225">
        <v>1</v>
      </c>
      <c r="F7" s="226">
        <f>'Исх данные'!A9</f>
        <v>0</v>
      </c>
      <c r="G7" s="226" t="e">
        <f>СЦЕПИТЬ</f>
        <v>#NAME?</v>
      </c>
      <c r="H7" s="226"/>
      <c r="I7" s="226">
        <f>'Исх данные'!B9</f>
        <v>0</v>
      </c>
      <c r="J7" s="227">
        <f>'Исх данные'!G9</f>
        <v>0</v>
      </c>
      <c r="K7" s="227">
        <f>'Исх данные'!Q9*2</f>
        <v>0</v>
      </c>
      <c r="L7" s="228">
        <f>'Исх данные'!H9</f>
        <v>0</v>
      </c>
      <c r="M7" s="228"/>
      <c r="N7" s="228">
        <f>'Исх данные'!Q9*2</f>
        <v>0</v>
      </c>
      <c r="O7" s="228">
        <f>'Исх данные'!R9</f>
        <v>0</v>
      </c>
      <c r="P7" s="228">
        <f>IF('Исх данные'!G9&gt;0,'Исх данные'!G9-15,0)</f>
        <v>0</v>
      </c>
      <c r="Q7" s="228">
        <f>IF('Исх данные'!H9&gt;=250,'Исх данные'!H9-15,IF('Исх данные'!H9&lt;250,'Исх данные'!H9-6,0))</f>
        <v>-6</v>
      </c>
      <c r="R7" s="228">
        <f>'Исх данные'!Q9</f>
        <v>0</v>
      </c>
      <c r="S7" s="228">
        <f>'Исх данные'!R9</f>
        <v>0</v>
      </c>
      <c r="T7" s="228">
        <f>IF('Исх данные'!G9&gt;0,'Исх данные'!H9-0.6,0)</f>
        <v>0</v>
      </c>
      <c r="U7" s="228">
        <f>'Исх данные'!Q9*2</f>
        <v>0</v>
      </c>
      <c r="V7" s="228">
        <f>IF('Исх данные'!G9&gt;0,0.33*'Исх данные'!G9-43.6,0)</f>
        <v>0</v>
      </c>
      <c r="W7" s="228">
        <f>IF('Исх данные'!G9&lt;250,0,IF('Исх данные'!G9&gt;=250,2*'Исх данные'!Q9,0))</f>
        <v>0</v>
      </c>
      <c r="X7" s="228">
        <f>IF('Исх данные'!G9&gt;0,0.67*'Исх данные'!G9-43.6,0)</f>
        <v>0</v>
      </c>
      <c r="Y7" s="228">
        <f>IF('Исх данные'!G9&gt;0,2*'Исх данные'!Q9,0)</f>
        <v>0</v>
      </c>
      <c r="Z7" s="227">
        <f>'Исх данные'!Q9</f>
        <v>0</v>
      </c>
      <c r="AA7" s="227">
        <f>'Исх данные'!Q9</f>
        <v>0</v>
      </c>
      <c r="AB7" s="227" t="e">
        <f>#REF!</f>
        <v>#REF!</v>
      </c>
      <c r="AC7" s="227">
        <f>IF('Исх данные'!H9&lt;=600,0,IF('Исх данные'!H9&gt;600,1*'Исх данные'!Q9,0))</f>
        <v>0</v>
      </c>
      <c r="AD7" s="229">
        <f>IF('Исх данные'!H9&lt;=250,0,IF('Исх данные'!H9&lt;=650,1*'Исх данные'!Q9,IF('Исх данные'!H9&gt;650,2*'Исх данные'!Q9,0)))</f>
        <v>0</v>
      </c>
      <c r="AE7" s="188">
        <f>IF('Исх данные'!G9&gt;=800,'Исх данные'!Q9*4,IF('Исх данные'!H9&gt;=800,'Исх данные'!Q9*4,0))</f>
        <v>0</v>
      </c>
    </row>
    <row r="8" spans="2:31" s="162" customFormat="1" ht="15.75">
      <c r="B8" s="306"/>
      <c r="C8" s="306"/>
      <c r="E8" s="231">
        <f>E7+1</f>
        <v>2</v>
      </c>
      <c r="F8" s="232">
        <f>'Исх данные'!A10</f>
        <v>0</v>
      </c>
      <c r="G8" s="232" t="e">
        <f t="shared" ref="G8:G24" si="0">СЦЕПИТЬ</f>
        <v>#NAME?</v>
      </c>
      <c r="H8" s="232"/>
      <c r="I8" s="232">
        <f>'Исх данные'!B10</f>
        <v>0</v>
      </c>
      <c r="J8" s="233">
        <f>'Исх данные'!G10</f>
        <v>0</v>
      </c>
      <c r="K8" s="233">
        <f>'Исх данные'!Q10*2</f>
        <v>0</v>
      </c>
      <c r="L8" s="234">
        <f>'Исх данные'!H10</f>
        <v>0</v>
      </c>
      <c r="M8" s="234"/>
      <c r="N8" s="234">
        <f>'Исх данные'!Q10*2</f>
        <v>0</v>
      </c>
      <c r="O8" s="234">
        <f>'Исх данные'!R10</f>
        <v>0</v>
      </c>
      <c r="P8" s="234">
        <f>IF('Исх данные'!G10&gt;0,'Исх данные'!G10-15,0)</f>
        <v>0</v>
      </c>
      <c r="Q8" s="234">
        <f>IF('Исх данные'!H10&gt;=250,'Исх данные'!H10-15,IF('Исх данные'!H10&lt;250,'Исх данные'!H10-6,0))</f>
        <v>-6</v>
      </c>
      <c r="R8" s="234">
        <f>'Исх данные'!Q10</f>
        <v>0</v>
      </c>
      <c r="S8" s="234">
        <f>'Исх данные'!R10</f>
        <v>0</v>
      </c>
      <c r="T8" s="234">
        <f>IF('Исх данные'!G10&gt;0,'Исх данные'!H10-0.6,0)</f>
        <v>0</v>
      </c>
      <c r="U8" s="234">
        <f>'Исх данные'!Q10*2</f>
        <v>0</v>
      </c>
      <c r="V8" s="234">
        <f>IF('Исх данные'!G10&gt;0,0.33*'Исх данные'!G10-43.6,0)</f>
        <v>0</v>
      </c>
      <c r="W8" s="234">
        <f>IF('Исх данные'!G10&lt;250,0,IF('Исх данные'!G10&gt;=250,2*'Исх данные'!Q10,0))</f>
        <v>0</v>
      </c>
      <c r="X8" s="234">
        <f>IF('Исх данные'!G10&gt;0,0.67*'Исх данные'!G10-43.6,0)</f>
        <v>0</v>
      </c>
      <c r="Y8" s="234">
        <f>IF('Исх данные'!G10&gt;0,2*'Исх данные'!Q10,0)</f>
        <v>0</v>
      </c>
      <c r="Z8" s="233">
        <f>'Исх данные'!Q10</f>
        <v>0</v>
      </c>
      <c r="AA8" s="233">
        <f>'Исх данные'!Q10</f>
        <v>0</v>
      </c>
      <c r="AB8" s="233" t="e">
        <f>#REF!</f>
        <v>#REF!</v>
      </c>
      <c r="AC8" s="233">
        <f>IF('Исх данные'!H10&lt;=600,0,IF('Исх данные'!H10&gt;600,1*'Исх данные'!Q10,0))</f>
        <v>0</v>
      </c>
      <c r="AD8" s="235">
        <f>IF('Исх данные'!H10&lt;=250,0,IF('Исх данные'!H10&lt;=650,1*'Исх данные'!Q10,IF('Исх данные'!H10&gt;650,2*'Исх данные'!Q10,0)))</f>
        <v>0</v>
      </c>
      <c r="AE8" s="189">
        <f>IF('Исх данные'!G10&gt;=800,'Исх данные'!Q10*4,IF('Исх данные'!H10&gt;=800,'Исх данные'!Q10*4,0))</f>
        <v>0</v>
      </c>
    </row>
    <row r="9" spans="2:31" s="162" customFormat="1" ht="28.5" customHeight="1">
      <c r="B9" s="301" t="s">
        <v>154</v>
      </c>
      <c r="E9" s="231">
        <f t="shared" ref="E9:E24" si="1">E8+1</f>
        <v>3</v>
      </c>
      <c r="F9" s="232">
        <f>'Исх данные'!A11</f>
        <v>0</v>
      </c>
      <c r="G9" s="232" t="e">
        <f t="shared" si="0"/>
        <v>#NAME?</v>
      </c>
      <c r="H9" s="232"/>
      <c r="I9" s="232">
        <f>'Исх данные'!B11</f>
        <v>0</v>
      </c>
      <c r="J9" s="233">
        <f>'Исх данные'!G11</f>
        <v>0</v>
      </c>
      <c r="K9" s="233">
        <f>'Исх данные'!Q11*2</f>
        <v>0</v>
      </c>
      <c r="L9" s="234">
        <f>'Исх данные'!H11</f>
        <v>0</v>
      </c>
      <c r="M9" s="234"/>
      <c r="N9" s="234">
        <f>'Исх данные'!Q11*2</f>
        <v>0</v>
      </c>
      <c r="O9" s="234">
        <f>'Исх данные'!R11</f>
        <v>0</v>
      </c>
      <c r="P9" s="234">
        <f>IF('Исх данные'!G11&gt;0,'Исх данные'!G11-15,0)</f>
        <v>0</v>
      </c>
      <c r="Q9" s="234">
        <f>IF('Исх данные'!H11&gt;=250,'Исх данные'!H11-15,IF('Исх данные'!H11&lt;250,'Исх данные'!H11-6,0))</f>
        <v>-6</v>
      </c>
      <c r="R9" s="234">
        <f>'Исх данные'!Q11</f>
        <v>0</v>
      </c>
      <c r="S9" s="234">
        <f>'Исх данные'!R11</f>
        <v>0</v>
      </c>
      <c r="T9" s="234">
        <f>IF('Исх данные'!G11&gt;0,'Исх данные'!H11-0.6,0)</f>
        <v>0</v>
      </c>
      <c r="U9" s="234">
        <f>'Исх данные'!Q11*2</f>
        <v>0</v>
      </c>
      <c r="V9" s="234">
        <f>IF('Исх данные'!G11&gt;0,0.33*'Исх данные'!G11-43.6,0)</f>
        <v>0</v>
      </c>
      <c r="W9" s="234">
        <f>IF('Исх данные'!G11&lt;250,0,IF('Исх данные'!G11&gt;=250,2*'Исх данные'!Q11,0))</f>
        <v>0</v>
      </c>
      <c r="X9" s="234">
        <f>IF('Исх данные'!G11&gt;0,0.67*'Исх данные'!G11-43.6,0)</f>
        <v>0</v>
      </c>
      <c r="Y9" s="234">
        <f>IF('Исх данные'!G11&gt;0,2*'Исх данные'!Q11,0)</f>
        <v>0</v>
      </c>
      <c r="Z9" s="233">
        <f>'Исх данные'!Q11</f>
        <v>0</v>
      </c>
      <c r="AA9" s="233">
        <f>'Исх данные'!Q11</f>
        <v>0</v>
      </c>
      <c r="AB9" s="233" t="e">
        <f>#REF!</f>
        <v>#REF!</v>
      </c>
      <c r="AC9" s="233">
        <f>IF('Исх данные'!H11&lt;=600,0,IF('Исх данные'!H11&gt;600,1*'Исх данные'!Q11,0))</f>
        <v>0</v>
      </c>
      <c r="AD9" s="235">
        <f>IF('Исх данные'!H11&lt;=250,0,IF('Исх данные'!H11&lt;=650,1*'Исх данные'!Q11,IF('Исх данные'!H11&gt;650,2*'Исх данные'!Q11,0)))</f>
        <v>0</v>
      </c>
      <c r="AE9" s="189">
        <f>IF('Исх данные'!G11&gt;=800,'Исх данные'!Q11*4,IF('Исх данные'!H11&gt;=800,'Исх данные'!Q11*4,0))</f>
        <v>0</v>
      </c>
    </row>
    <row r="10" spans="2:31" s="162" customFormat="1" ht="21" customHeight="1">
      <c r="B10" s="301"/>
      <c r="E10" s="231">
        <f t="shared" si="1"/>
        <v>4</v>
      </c>
      <c r="F10" s="232">
        <f>'Исх данные'!A12</f>
        <v>0</v>
      </c>
      <c r="G10" s="232" t="e">
        <f t="shared" si="0"/>
        <v>#NAME?</v>
      </c>
      <c r="H10" s="232"/>
      <c r="I10" s="232">
        <f>'Исх данные'!B12</f>
        <v>0</v>
      </c>
      <c r="J10" s="233">
        <f>'Исх данные'!G12</f>
        <v>0</v>
      </c>
      <c r="K10" s="233">
        <f>'Исх данные'!Q12*2</f>
        <v>0</v>
      </c>
      <c r="L10" s="234">
        <f>'Исх данные'!H12</f>
        <v>0</v>
      </c>
      <c r="M10" s="234"/>
      <c r="N10" s="234">
        <f>'Исх данные'!Q12*2</f>
        <v>0</v>
      </c>
      <c r="O10" s="234">
        <f>'Исх данные'!R12</f>
        <v>0</v>
      </c>
      <c r="P10" s="234">
        <f>IF('Исх данные'!G12&gt;0,'Исх данные'!G12-15,0)</f>
        <v>0</v>
      </c>
      <c r="Q10" s="234">
        <f>IF('Исх данные'!H12&gt;=250,'Исх данные'!H12-15,IF('Исх данные'!H12&lt;250,'Исх данные'!H12-6,0))</f>
        <v>-6</v>
      </c>
      <c r="R10" s="234">
        <f>'Исх данные'!Q12</f>
        <v>0</v>
      </c>
      <c r="S10" s="234">
        <f>'Исх данные'!R12</f>
        <v>0</v>
      </c>
      <c r="T10" s="234">
        <f>IF('Исх данные'!G12&gt;0,'Исх данные'!H12-0.6,0)</f>
        <v>0</v>
      </c>
      <c r="U10" s="234">
        <f>'Исх данные'!Q12*2</f>
        <v>0</v>
      </c>
      <c r="V10" s="234">
        <f>IF('Исх данные'!G12&gt;0,0.33*'Исх данные'!G12-43.6,0)</f>
        <v>0</v>
      </c>
      <c r="W10" s="234">
        <f>IF('Исх данные'!G12&lt;250,0,IF('Исх данные'!G12&gt;=250,2*'Исх данные'!Q12,0))</f>
        <v>0</v>
      </c>
      <c r="X10" s="234">
        <f>IF('Исх данные'!G12&gt;0,0.67*'Исх данные'!G12-43.6,0)</f>
        <v>0</v>
      </c>
      <c r="Y10" s="234">
        <f>IF('Исх данные'!G12&gt;0,2*'Исх данные'!Q12,0)</f>
        <v>0</v>
      </c>
      <c r="Z10" s="233">
        <f>'Исх данные'!Q12</f>
        <v>0</v>
      </c>
      <c r="AA10" s="233">
        <f>'Исх данные'!Q12</f>
        <v>0</v>
      </c>
      <c r="AB10" s="233" t="e">
        <f>#REF!</f>
        <v>#REF!</v>
      </c>
      <c r="AC10" s="233">
        <f>IF('Исх данные'!H12&lt;=600,0,IF('Исх данные'!H12&gt;600,1*'Исх данные'!Q12,0))</f>
        <v>0</v>
      </c>
      <c r="AD10" s="235">
        <f>IF('Исх данные'!H12&lt;=250,0,IF('Исх данные'!H12&lt;=650,1*'Исх данные'!Q12,IF('Исх данные'!H12&gt;650,2*'Исх данные'!Q12,0)))</f>
        <v>0</v>
      </c>
      <c r="AE10" s="189">
        <f>IF('Исх данные'!G12&gt;=800,'Исх данные'!Q12*4,IF('Исх данные'!H12&gt;=800,'Исх данные'!Q12*4,0))</f>
        <v>0</v>
      </c>
    </row>
    <row r="11" spans="2:31" s="162" customFormat="1" ht="15.75">
      <c r="B11" s="301"/>
      <c r="E11" s="231">
        <f t="shared" si="1"/>
        <v>5</v>
      </c>
      <c r="F11" s="232">
        <f>'Исх данные'!A13</f>
        <v>0</v>
      </c>
      <c r="G11" s="232" t="e">
        <f t="shared" si="0"/>
        <v>#NAME?</v>
      </c>
      <c r="H11" s="232"/>
      <c r="I11" s="232">
        <f>'Исх данные'!B13</f>
        <v>0</v>
      </c>
      <c r="J11" s="233">
        <f>'Исх данные'!G13</f>
        <v>0</v>
      </c>
      <c r="K11" s="233">
        <f>'Исх данные'!Q13*2</f>
        <v>0</v>
      </c>
      <c r="L11" s="234">
        <f>'Исх данные'!H13</f>
        <v>0</v>
      </c>
      <c r="M11" s="234"/>
      <c r="N11" s="234">
        <f>'Исх данные'!Q13*2</f>
        <v>0</v>
      </c>
      <c r="O11" s="234">
        <f>'Исх данные'!R13</f>
        <v>0</v>
      </c>
      <c r="P11" s="234">
        <f>IF('Исх данные'!G13&gt;0,'Исх данные'!G13-15,0)</f>
        <v>0</v>
      </c>
      <c r="Q11" s="234">
        <f>IF('Исх данные'!H13&gt;=250,'Исх данные'!H13-15,IF('Исх данные'!H13&lt;250,'Исх данные'!H13-6,0))</f>
        <v>-6</v>
      </c>
      <c r="R11" s="234">
        <f>'Исх данные'!Q13</f>
        <v>0</v>
      </c>
      <c r="S11" s="234">
        <f>'Исх данные'!R13</f>
        <v>0</v>
      </c>
      <c r="T11" s="234">
        <f>IF('Исх данные'!G13&gt;0,'Исх данные'!H13-0.6,0)</f>
        <v>0</v>
      </c>
      <c r="U11" s="234">
        <f>'Исх данные'!Q13*2</f>
        <v>0</v>
      </c>
      <c r="V11" s="234">
        <f>IF('Исх данные'!G13&gt;0,0.33*'Исх данные'!G13-43.6,0)</f>
        <v>0</v>
      </c>
      <c r="W11" s="234">
        <f>IF('Исх данные'!G13&lt;250,0,IF('Исх данные'!G13&gt;=250,2*'Исх данные'!Q13,0))</f>
        <v>0</v>
      </c>
      <c r="X11" s="234">
        <f>IF('Исх данные'!G13&gt;0,0.67*'Исх данные'!G13-43.6,0)</f>
        <v>0</v>
      </c>
      <c r="Y11" s="234">
        <f>IF('Исх данные'!G13&gt;0,2*'Исх данные'!Q13,0)</f>
        <v>0</v>
      </c>
      <c r="Z11" s="233">
        <f>'Исх данные'!Q13</f>
        <v>0</v>
      </c>
      <c r="AA11" s="233">
        <f>'Исх данные'!Q13</f>
        <v>0</v>
      </c>
      <c r="AB11" s="233" t="e">
        <f>#REF!</f>
        <v>#REF!</v>
      </c>
      <c r="AC11" s="233">
        <f>IF('Исх данные'!H13&lt;=600,0,IF('Исх данные'!H13&gt;600,1*'Исх данные'!Q13,0))</f>
        <v>0</v>
      </c>
      <c r="AD11" s="235">
        <f>IF('Исх данные'!H13&lt;=250,0,IF('Исх данные'!H13&lt;=650,1*'Исх данные'!Q13,IF('Исх данные'!H13&gt;650,2*'Исх данные'!Q13,0)))</f>
        <v>0</v>
      </c>
      <c r="AE11" s="189">
        <f>IF('Исх данные'!G13&gt;=800,'Исх данные'!Q13*4,IF('Исх данные'!H13&gt;=800,'Исх данные'!Q13*4,0))</f>
        <v>0</v>
      </c>
    </row>
    <row r="12" spans="2:31" s="162" customFormat="1" ht="15.75">
      <c r="B12" s="301"/>
      <c r="E12" s="231">
        <f t="shared" si="1"/>
        <v>6</v>
      </c>
      <c r="F12" s="232">
        <f>'Исх данные'!A14</f>
        <v>0</v>
      </c>
      <c r="G12" s="232" t="e">
        <f t="shared" si="0"/>
        <v>#NAME?</v>
      </c>
      <c r="H12" s="232"/>
      <c r="I12" s="232">
        <f>'Исх данные'!B14</f>
        <v>0</v>
      </c>
      <c r="J12" s="233">
        <f>'Исх данные'!G14</f>
        <v>0</v>
      </c>
      <c r="K12" s="233">
        <f>'Исх данные'!Q14*2</f>
        <v>0</v>
      </c>
      <c r="L12" s="234">
        <f>'Исх данные'!H14</f>
        <v>0</v>
      </c>
      <c r="M12" s="234"/>
      <c r="N12" s="234">
        <f>'Исх данные'!Q14*2</f>
        <v>0</v>
      </c>
      <c r="O12" s="234">
        <f>'Исх данные'!R14</f>
        <v>0</v>
      </c>
      <c r="P12" s="234">
        <f>IF('Исх данные'!G14&gt;0,'Исх данные'!G14-15,0)</f>
        <v>0</v>
      </c>
      <c r="Q12" s="234">
        <f>IF('Исх данные'!H14&gt;=250,'Исх данные'!H14-15,IF('Исх данные'!H14&lt;250,'Исх данные'!H14-6,0))</f>
        <v>-6</v>
      </c>
      <c r="R12" s="234">
        <f>'Исх данные'!Q14</f>
        <v>0</v>
      </c>
      <c r="S12" s="234">
        <f>'Исх данные'!R14</f>
        <v>0</v>
      </c>
      <c r="T12" s="234">
        <f>IF('Исх данные'!G14&gt;0,'Исх данные'!H14-0.6,0)</f>
        <v>0</v>
      </c>
      <c r="U12" s="234">
        <f>'Исх данные'!Q14*2</f>
        <v>0</v>
      </c>
      <c r="V12" s="234">
        <f>IF('Исх данные'!G14&gt;0,0.33*'Исх данные'!G14-43.6,0)</f>
        <v>0</v>
      </c>
      <c r="W12" s="234">
        <f>IF('Исх данные'!G14&lt;250,0,IF('Исх данные'!G14&gt;=250,2*'Исх данные'!Q14,0))</f>
        <v>0</v>
      </c>
      <c r="X12" s="234">
        <f>IF('Исх данные'!G14&gt;0,0.67*'Исх данные'!G14-43.6,0)</f>
        <v>0</v>
      </c>
      <c r="Y12" s="234">
        <f>IF('Исх данные'!G14&gt;0,2*'Исх данные'!Q14,0)</f>
        <v>0</v>
      </c>
      <c r="Z12" s="233">
        <f>'Исх данные'!Q14</f>
        <v>0</v>
      </c>
      <c r="AA12" s="233">
        <f>'Исх данные'!Q14</f>
        <v>0</v>
      </c>
      <c r="AB12" s="233" t="e">
        <f>#REF!</f>
        <v>#REF!</v>
      </c>
      <c r="AC12" s="233">
        <f>IF('Исх данные'!H14&lt;=600,0,IF('Исх данные'!H14&gt;600,1*'Исх данные'!Q14,0))</f>
        <v>0</v>
      </c>
      <c r="AD12" s="235">
        <f>IF('Исх данные'!H14&lt;=250,0,IF('Исх данные'!H14&lt;=650,1*'Исх данные'!Q14,IF('Исх данные'!H14&gt;650,2*'Исх данные'!Q14,0)))</f>
        <v>0</v>
      </c>
      <c r="AE12" s="189">
        <f>IF('Исх данные'!G14&gt;=800,'Исх данные'!Q14*4,IF('Исх данные'!H14&gt;=800,'Исх данные'!Q14*4,0))</f>
        <v>0</v>
      </c>
    </row>
    <row r="13" spans="2:31" s="162" customFormat="1" ht="15.75">
      <c r="B13" s="301"/>
      <c r="E13" s="231">
        <f t="shared" si="1"/>
        <v>7</v>
      </c>
      <c r="F13" s="232">
        <f>'Исх данные'!A15</f>
        <v>0</v>
      </c>
      <c r="G13" s="232" t="e">
        <f t="shared" si="0"/>
        <v>#NAME?</v>
      </c>
      <c r="H13" s="232"/>
      <c r="I13" s="232">
        <f>'Исх данные'!B15</f>
        <v>0</v>
      </c>
      <c r="J13" s="233">
        <f>'Исх данные'!G15</f>
        <v>0</v>
      </c>
      <c r="K13" s="233">
        <f>'Исх данные'!Q15*2</f>
        <v>0</v>
      </c>
      <c r="L13" s="234">
        <f>'Исх данные'!H15</f>
        <v>0</v>
      </c>
      <c r="M13" s="234"/>
      <c r="N13" s="234">
        <f>'Исх данные'!Q15*2</f>
        <v>0</v>
      </c>
      <c r="O13" s="234">
        <f>'Исх данные'!R15</f>
        <v>0</v>
      </c>
      <c r="P13" s="234">
        <f>IF('Исх данные'!G15&gt;0,'Исх данные'!G15-15,0)</f>
        <v>0</v>
      </c>
      <c r="Q13" s="234">
        <f>IF('Исх данные'!H15&gt;=250,'Исх данные'!H15-15,IF('Исх данные'!H15&lt;250,'Исх данные'!H15-6,0))</f>
        <v>-6</v>
      </c>
      <c r="R13" s="234">
        <f>'Исх данные'!Q15</f>
        <v>0</v>
      </c>
      <c r="S13" s="234">
        <f>'Исх данные'!R15</f>
        <v>0</v>
      </c>
      <c r="T13" s="234">
        <f>IF('Исх данные'!G15&gt;0,'Исх данные'!H15-0.6,0)</f>
        <v>0</v>
      </c>
      <c r="U13" s="234">
        <f>'Исх данные'!Q15*2</f>
        <v>0</v>
      </c>
      <c r="V13" s="234">
        <f>IF('Исх данные'!G15&gt;0,0.33*'Исх данные'!G15-43.6,0)</f>
        <v>0</v>
      </c>
      <c r="W13" s="234">
        <f>IF('Исх данные'!G15&lt;250,0,IF('Исх данные'!G15&gt;=250,2*'Исх данные'!Q15,0))</f>
        <v>0</v>
      </c>
      <c r="X13" s="234">
        <f>IF('Исх данные'!G15&gt;0,0.67*'Исх данные'!G15-43.6,0)</f>
        <v>0</v>
      </c>
      <c r="Y13" s="234">
        <f>IF('Исх данные'!G15&gt;0,2*'Исх данные'!Q15,0)</f>
        <v>0</v>
      </c>
      <c r="Z13" s="233">
        <f>'Исх данные'!Q15</f>
        <v>0</v>
      </c>
      <c r="AA13" s="233">
        <f>'Исх данные'!Q15</f>
        <v>0</v>
      </c>
      <c r="AB13" s="233" t="e">
        <f>#REF!</f>
        <v>#REF!</v>
      </c>
      <c r="AC13" s="233">
        <f>IF('Исх данные'!H15&lt;=600,0,IF('Исх данные'!H15&gt;600,1*'Исх данные'!Q15,0))</f>
        <v>0</v>
      </c>
      <c r="AD13" s="235">
        <f>IF('Исх данные'!H15&lt;=250,0,IF('Исх данные'!H15&lt;=650,1*'Исх данные'!Q15,IF('Исх данные'!H15&gt;650,2*'Исх данные'!Q15,0)))</f>
        <v>0</v>
      </c>
      <c r="AE13" s="189">
        <f>IF('Исх данные'!G15&gt;=800,'Исх данные'!Q15*4,IF('Исх данные'!H15&gt;=800,'Исх данные'!Q15*4,0))</f>
        <v>0</v>
      </c>
    </row>
    <row r="14" spans="2:31" s="162" customFormat="1" ht="15.75">
      <c r="B14" s="301"/>
      <c r="E14" s="231">
        <f t="shared" si="1"/>
        <v>8</v>
      </c>
      <c r="F14" s="232">
        <f>'Исх данные'!A16</f>
        <v>0</v>
      </c>
      <c r="G14" s="232" t="e">
        <f t="shared" si="0"/>
        <v>#NAME?</v>
      </c>
      <c r="H14" s="232"/>
      <c r="I14" s="232">
        <f>'Исх данные'!B16</f>
        <v>0</v>
      </c>
      <c r="J14" s="233">
        <f>'Исх данные'!G16</f>
        <v>0</v>
      </c>
      <c r="K14" s="233">
        <f>'Исх данные'!Q16*2</f>
        <v>0</v>
      </c>
      <c r="L14" s="234">
        <f>'Исх данные'!H16</f>
        <v>0</v>
      </c>
      <c r="M14" s="234"/>
      <c r="N14" s="234">
        <f>'Исх данные'!Q16*2</f>
        <v>0</v>
      </c>
      <c r="O14" s="234">
        <f>'Исх данные'!R16</f>
        <v>0</v>
      </c>
      <c r="P14" s="234">
        <f>IF('Исх данные'!G16&gt;0,'Исх данные'!G16-15,0)</f>
        <v>0</v>
      </c>
      <c r="Q14" s="234">
        <f>IF('Исх данные'!H16&gt;=250,'Исх данные'!H16-15,IF('Исх данные'!H16&lt;250,'Исх данные'!H16-6,0))</f>
        <v>-6</v>
      </c>
      <c r="R14" s="234">
        <f>'Исх данные'!Q16</f>
        <v>0</v>
      </c>
      <c r="S14" s="234">
        <f>'Исх данные'!R16</f>
        <v>0</v>
      </c>
      <c r="T14" s="234">
        <f>IF('Исх данные'!G16&gt;0,'Исх данные'!H16-0.6,0)</f>
        <v>0</v>
      </c>
      <c r="U14" s="234">
        <f>'Исх данные'!Q16*2</f>
        <v>0</v>
      </c>
      <c r="V14" s="234">
        <f>IF('Исх данные'!G16&gt;0,0.33*'Исх данные'!G16-43.6,0)</f>
        <v>0</v>
      </c>
      <c r="W14" s="234">
        <f>IF('Исх данные'!G16&lt;250,0,IF('Исх данные'!G16&gt;=250,2*'Исх данные'!Q16,0))</f>
        <v>0</v>
      </c>
      <c r="X14" s="234">
        <f>IF('Исх данные'!G16&gt;0,0.67*'Исх данные'!G16-43.6,0)</f>
        <v>0</v>
      </c>
      <c r="Y14" s="234">
        <f>IF('Исх данные'!G16&gt;0,2*'Исх данные'!Q16,0)</f>
        <v>0</v>
      </c>
      <c r="Z14" s="233">
        <f>'Исх данные'!Q16</f>
        <v>0</v>
      </c>
      <c r="AA14" s="233">
        <f>'Исх данные'!Q16</f>
        <v>0</v>
      </c>
      <c r="AB14" s="233" t="e">
        <f>#REF!</f>
        <v>#REF!</v>
      </c>
      <c r="AC14" s="233">
        <f>IF('Исх данные'!H16&lt;=600,0,IF('Исх данные'!H16&gt;600,1*'Исх данные'!Q16,0))</f>
        <v>0</v>
      </c>
      <c r="AD14" s="235">
        <f>IF('Исх данные'!H16&lt;=250,0,IF('Исх данные'!H16&lt;=650,1*'Исх данные'!Q16,IF('Исх данные'!H16&gt;650,2*'Исх данные'!Q16,0)))</f>
        <v>0</v>
      </c>
      <c r="AE14" s="189">
        <f>IF('Исх данные'!G16&gt;=800,'Исх данные'!Q16*4,IF('Исх данные'!H16&gt;=800,'Исх данные'!Q16*4,0))</f>
        <v>0</v>
      </c>
    </row>
    <row r="15" spans="2:31" s="162" customFormat="1" ht="15.75">
      <c r="B15" s="301"/>
      <c r="E15" s="231">
        <f t="shared" si="1"/>
        <v>9</v>
      </c>
      <c r="F15" s="232">
        <f>'Исх данные'!A17</f>
        <v>0</v>
      </c>
      <c r="G15" s="232" t="e">
        <f t="shared" si="0"/>
        <v>#NAME?</v>
      </c>
      <c r="H15" s="232"/>
      <c r="I15" s="232">
        <f>'Исх данные'!B17</f>
        <v>0</v>
      </c>
      <c r="J15" s="233">
        <f>'Исх данные'!G17</f>
        <v>0</v>
      </c>
      <c r="K15" s="233">
        <f>'Исх данные'!Q17*2</f>
        <v>0</v>
      </c>
      <c r="L15" s="234">
        <f>'Исх данные'!H17</f>
        <v>0</v>
      </c>
      <c r="M15" s="234"/>
      <c r="N15" s="234">
        <f>'Исх данные'!Q17*2</f>
        <v>0</v>
      </c>
      <c r="O15" s="234">
        <f>'Исх данные'!R17</f>
        <v>0</v>
      </c>
      <c r="P15" s="234">
        <f>IF('Исх данные'!G17&gt;0,'Исх данные'!G17-15,0)</f>
        <v>0</v>
      </c>
      <c r="Q15" s="234">
        <f>IF('Исх данные'!H17&gt;=250,'Исх данные'!H17-15,IF('Исх данные'!H17&lt;250,'Исх данные'!H17-6,0))</f>
        <v>-6</v>
      </c>
      <c r="R15" s="234">
        <f>'Исх данные'!Q17</f>
        <v>0</v>
      </c>
      <c r="S15" s="234">
        <f>'Исх данные'!R17</f>
        <v>0</v>
      </c>
      <c r="T15" s="234">
        <f>IF('Исх данные'!G17&gt;0,'Исх данные'!H17-0.6,0)</f>
        <v>0</v>
      </c>
      <c r="U15" s="234">
        <f>'Исх данные'!Q17*2</f>
        <v>0</v>
      </c>
      <c r="V15" s="234">
        <f>IF('Исх данные'!G17&gt;0,0.33*'Исх данные'!G17-43.6,0)</f>
        <v>0</v>
      </c>
      <c r="W15" s="234">
        <f>IF('Исх данные'!G17&lt;250,0,IF('Исх данные'!G17&gt;=250,2*'Исх данные'!Q17,0))</f>
        <v>0</v>
      </c>
      <c r="X15" s="234">
        <f>IF('Исх данные'!G17&gt;0,0.67*'Исх данные'!G17-43.6,0)</f>
        <v>0</v>
      </c>
      <c r="Y15" s="234">
        <f>IF('Исх данные'!G17&gt;0,2*'Исх данные'!Q17,0)</f>
        <v>0</v>
      </c>
      <c r="Z15" s="233">
        <f>'Исх данные'!Q17</f>
        <v>0</v>
      </c>
      <c r="AA15" s="233">
        <f>'Исх данные'!Q17</f>
        <v>0</v>
      </c>
      <c r="AB15" s="233" t="e">
        <f>#REF!</f>
        <v>#REF!</v>
      </c>
      <c r="AC15" s="233">
        <f>IF('Исх данные'!H17&lt;=600,0,IF('Исх данные'!H17&gt;600,1*'Исх данные'!Q17,0))</f>
        <v>0</v>
      </c>
      <c r="AD15" s="235">
        <f>IF('Исх данные'!H17&lt;=250,0,IF('Исх данные'!H17&lt;=650,1*'Исх данные'!Q17,IF('Исх данные'!H17&gt;650,2*'Исх данные'!Q17,0)))</f>
        <v>0</v>
      </c>
      <c r="AE15" s="189">
        <f>IF('Исх данные'!G17&gt;=800,'Исх данные'!Q17*4,IF('Исх данные'!H17&gt;=800,'Исх данные'!Q17*4,0))</f>
        <v>0</v>
      </c>
    </row>
    <row r="16" spans="2:31" s="162" customFormat="1" ht="15.75">
      <c r="B16" s="301"/>
      <c r="E16" s="231">
        <f t="shared" si="1"/>
        <v>10</v>
      </c>
      <c r="F16" s="232">
        <f>'Исх данные'!A18</f>
        <v>0</v>
      </c>
      <c r="G16" s="232" t="e">
        <f t="shared" si="0"/>
        <v>#NAME?</v>
      </c>
      <c r="H16" s="232"/>
      <c r="I16" s="232">
        <f>'Исх данные'!B18</f>
        <v>0</v>
      </c>
      <c r="J16" s="233">
        <f>'Исх данные'!G18</f>
        <v>0</v>
      </c>
      <c r="K16" s="233">
        <f>'Исх данные'!Q18*2</f>
        <v>0</v>
      </c>
      <c r="L16" s="234">
        <f>'Исх данные'!H18</f>
        <v>0</v>
      </c>
      <c r="M16" s="234"/>
      <c r="N16" s="234">
        <f>'Исх данные'!Q18*2</f>
        <v>0</v>
      </c>
      <c r="O16" s="234">
        <f>'Исх данные'!R18</f>
        <v>0</v>
      </c>
      <c r="P16" s="234">
        <f>IF('Исх данные'!G18&gt;0,'Исх данные'!G18-15,0)</f>
        <v>0</v>
      </c>
      <c r="Q16" s="234">
        <f>IF('Исх данные'!H18&gt;=250,'Исх данные'!H18-15,IF('Исх данные'!H18&lt;250,'Исх данные'!H18-6,0))</f>
        <v>-6</v>
      </c>
      <c r="R16" s="234">
        <f>'Исх данные'!Q18</f>
        <v>0</v>
      </c>
      <c r="S16" s="234">
        <f>'Исх данные'!R18</f>
        <v>0</v>
      </c>
      <c r="T16" s="234">
        <f>IF('Исх данные'!G18&gt;0,'Исх данные'!H18-0.6,0)</f>
        <v>0</v>
      </c>
      <c r="U16" s="234">
        <f>'Исх данные'!Q18*2</f>
        <v>0</v>
      </c>
      <c r="V16" s="234">
        <f>IF('Исх данные'!G18&gt;0,0.33*'Исх данные'!G18-43.6,0)</f>
        <v>0</v>
      </c>
      <c r="W16" s="234">
        <f>IF('Исх данные'!G18&lt;250,0,IF('Исх данные'!G18&gt;=250,2*'Исх данные'!Q18,0))</f>
        <v>0</v>
      </c>
      <c r="X16" s="234">
        <f>IF('Исх данные'!G18&gt;0,0.67*'Исх данные'!G18-43.6,0)</f>
        <v>0</v>
      </c>
      <c r="Y16" s="234">
        <f>IF('Исх данные'!G18&gt;0,2*'Исх данные'!Q18,0)</f>
        <v>0</v>
      </c>
      <c r="Z16" s="233">
        <f>'Исх данные'!Q18</f>
        <v>0</v>
      </c>
      <c r="AA16" s="233">
        <f>'Исх данные'!Q18</f>
        <v>0</v>
      </c>
      <c r="AB16" s="233" t="e">
        <f>#REF!</f>
        <v>#REF!</v>
      </c>
      <c r="AC16" s="233">
        <f>IF('Исх данные'!H18&lt;=600,0,IF('Исх данные'!H18&gt;600,1*'Исх данные'!Q18,0))</f>
        <v>0</v>
      </c>
      <c r="AD16" s="235">
        <f>IF('Исх данные'!H18&lt;=250,0,IF('Исх данные'!H18&lt;=650,1*'Исх данные'!Q18,IF('Исх данные'!H18&gt;650,2*'Исх данные'!Q18,0)))</f>
        <v>0</v>
      </c>
      <c r="AE16" s="189">
        <f>IF('Исх данные'!G18&gt;=800,'Исх данные'!Q18*4,IF('Исх данные'!H18&gt;=800,'Исх данные'!Q18*4,0))</f>
        <v>0</v>
      </c>
    </row>
    <row r="17" spans="1:31" s="162" customFormat="1" ht="15.75">
      <c r="B17" s="301"/>
      <c r="C17" s="302" t="s">
        <v>155</v>
      </c>
      <c r="D17" s="303" t="s">
        <v>156</v>
      </c>
      <c r="E17" s="231">
        <f t="shared" si="1"/>
        <v>11</v>
      </c>
      <c r="F17" s="232">
        <f>'Исх данные'!A19</f>
        <v>0</v>
      </c>
      <c r="G17" s="232" t="e">
        <f t="shared" si="0"/>
        <v>#NAME?</v>
      </c>
      <c r="H17" s="232"/>
      <c r="I17" s="232">
        <f>'Исх данные'!B19</f>
        <v>0</v>
      </c>
      <c r="J17" s="233">
        <f>'Исх данные'!G19</f>
        <v>0</v>
      </c>
      <c r="K17" s="233">
        <f>'Исх данные'!Q19*2</f>
        <v>0</v>
      </c>
      <c r="L17" s="234">
        <f>'Исх данные'!H19</f>
        <v>0</v>
      </c>
      <c r="M17" s="234"/>
      <c r="N17" s="234">
        <f>'Исх данные'!Q19*2</f>
        <v>0</v>
      </c>
      <c r="O17" s="234">
        <f>'Исх данные'!R19</f>
        <v>0</v>
      </c>
      <c r="P17" s="234">
        <f>IF('Исх данные'!G19&gt;0,'Исх данные'!G19-15,0)</f>
        <v>0</v>
      </c>
      <c r="Q17" s="234">
        <f>IF('Исх данные'!H19&gt;=250,'Исх данные'!H19-15,IF('Исх данные'!H19&lt;250,'Исх данные'!H19-6,0))</f>
        <v>-6</v>
      </c>
      <c r="R17" s="234">
        <f>'Исх данные'!Q19</f>
        <v>0</v>
      </c>
      <c r="S17" s="234">
        <f>'Исх данные'!R19</f>
        <v>0</v>
      </c>
      <c r="T17" s="234">
        <f>IF('Исх данные'!G19&gt;0,'Исх данные'!H19-0.6,0)</f>
        <v>0</v>
      </c>
      <c r="U17" s="234">
        <f>'Исх данные'!Q19*2</f>
        <v>0</v>
      </c>
      <c r="V17" s="234">
        <f>IF('Исх данные'!G19&gt;0,0.33*'Исх данные'!G19-43.6,0)</f>
        <v>0</v>
      </c>
      <c r="W17" s="234">
        <f>IF('Исх данные'!G19&lt;250,0,IF('Исх данные'!G19&gt;=250,2*'Исх данные'!Q19,0))</f>
        <v>0</v>
      </c>
      <c r="X17" s="234">
        <f>IF('Исх данные'!G19&gt;0,0.67*'Исх данные'!G19-43.6,0)</f>
        <v>0</v>
      </c>
      <c r="Y17" s="234">
        <f>IF('Исх данные'!G19&gt;0,2*'Исх данные'!Q19,0)</f>
        <v>0</v>
      </c>
      <c r="Z17" s="233">
        <f>'Исх данные'!Q19</f>
        <v>0</v>
      </c>
      <c r="AA17" s="233">
        <f>'Исх данные'!Q19</f>
        <v>0</v>
      </c>
      <c r="AB17" s="233" t="e">
        <f>#REF!</f>
        <v>#REF!</v>
      </c>
      <c r="AC17" s="233">
        <f>IF('Исх данные'!H19&lt;=600,0,IF('Исх данные'!H19&gt;600,1*'Исх данные'!Q19,0))</f>
        <v>0</v>
      </c>
      <c r="AD17" s="235">
        <f>IF('Исх данные'!H19&lt;=250,0,IF('Исх данные'!H19&lt;=650,1*'Исх данные'!Q19,IF('Исх данные'!H19&gt;650,2*'Исх данные'!Q19,0)))</f>
        <v>0</v>
      </c>
      <c r="AE17" s="189">
        <f>IF('Исх данные'!G19&gt;=800,'Исх данные'!Q19*4,IF('Исх данные'!H19&gt;=800,'Исх данные'!Q19*4,0))</f>
        <v>0</v>
      </c>
    </row>
    <row r="18" spans="1:31" s="162" customFormat="1" ht="15.75">
      <c r="B18" s="301"/>
      <c r="C18" s="302"/>
      <c r="D18" s="303"/>
      <c r="E18" s="231">
        <f t="shared" si="1"/>
        <v>12</v>
      </c>
      <c r="F18" s="232">
        <f>'Исх данные'!A20</f>
        <v>0</v>
      </c>
      <c r="G18" s="232" t="e">
        <f t="shared" si="0"/>
        <v>#NAME?</v>
      </c>
      <c r="H18" s="232"/>
      <c r="I18" s="232">
        <f>'Исх данные'!B20</f>
        <v>0</v>
      </c>
      <c r="J18" s="233">
        <f>'Исх данные'!G20</f>
        <v>0</v>
      </c>
      <c r="K18" s="233">
        <f>'Исх данные'!Q20*2</f>
        <v>0</v>
      </c>
      <c r="L18" s="234">
        <f>'Исх данные'!H20</f>
        <v>0</v>
      </c>
      <c r="M18" s="234"/>
      <c r="N18" s="234">
        <f>'Исх данные'!Q20*2</f>
        <v>0</v>
      </c>
      <c r="O18" s="234">
        <f>'Исх данные'!R20</f>
        <v>0</v>
      </c>
      <c r="P18" s="234">
        <f>IF('Исх данные'!G20&gt;0,'Исх данные'!G20-15,0)</f>
        <v>0</v>
      </c>
      <c r="Q18" s="234">
        <f>IF('Исх данные'!H20&gt;=250,'Исх данные'!H20-15,IF('Исх данные'!H20&lt;250,'Исх данные'!H20-6,0))</f>
        <v>-6</v>
      </c>
      <c r="R18" s="234">
        <f>'Исх данные'!Q20</f>
        <v>0</v>
      </c>
      <c r="S18" s="234">
        <f>'Исх данные'!R20</f>
        <v>0</v>
      </c>
      <c r="T18" s="234">
        <f>IF('Исх данные'!G20&gt;0,'Исх данные'!H20-0.6,0)</f>
        <v>0</v>
      </c>
      <c r="U18" s="234">
        <f>'Исх данные'!Q20*2</f>
        <v>0</v>
      </c>
      <c r="V18" s="234">
        <f>IF('Исх данные'!G20&gt;0,0.33*'Исх данные'!G20-43.6,0)</f>
        <v>0</v>
      </c>
      <c r="W18" s="234">
        <f>IF('Исх данные'!G20&lt;250,0,IF('Исх данные'!G20&gt;=250,2*'Исх данные'!Q20,0))</f>
        <v>0</v>
      </c>
      <c r="X18" s="234">
        <f>IF('Исх данные'!G20&gt;0,0.67*'Исх данные'!G20-43.6,0)</f>
        <v>0</v>
      </c>
      <c r="Y18" s="234">
        <f>IF('Исх данные'!G20&gt;0,2*'Исх данные'!Q20,0)</f>
        <v>0</v>
      </c>
      <c r="Z18" s="233">
        <f>'Исх данные'!Q20</f>
        <v>0</v>
      </c>
      <c r="AA18" s="233">
        <f>'Исх данные'!Q20</f>
        <v>0</v>
      </c>
      <c r="AB18" s="233" t="e">
        <f>#REF!</f>
        <v>#REF!</v>
      </c>
      <c r="AC18" s="233">
        <f>IF('Исх данные'!H20&lt;=600,0,IF('Исх данные'!H20&gt;600,1*'Исх данные'!Q20,0))</f>
        <v>0</v>
      </c>
      <c r="AD18" s="235">
        <f>IF('Исх данные'!H20&lt;=250,0,IF('Исх данные'!H20&lt;=650,1*'Исх данные'!Q20,IF('Исх данные'!H20&gt;650,2*'Исх данные'!Q20,0)))</f>
        <v>0</v>
      </c>
      <c r="AE18" s="189">
        <f>IF('Исх данные'!G20&gt;=800,'Исх данные'!Q20*4,IF('Исх данные'!H20&gt;=800,'Исх данные'!Q20*4,0))</f>
        <v>0</v>
      </c>
    </row>
    <row r="19" spans="1:31" s="162" customFormat="1" ht="15.75">
      <c r="B19" s="301"/>
      <c r="C19" s="302"/>
      <c r="D19" s="303"/>
      <c r="E19" s="231">
        <f t="shared" si="1"/>
        <v>13</v>
      </c>
      <c r="F19" s="232">
        <f>'Исх данные'!A21</f>
        <v>0</v>
      </c>
      <c r="G19" s="232" t="e">
        <f t="shared" si="0"/>
        <v>#NAME?</v>
      </c>
      <c r="H19" s="232"/>
      <c r="I19" s="232">
        <f>'Исх данные'!B21</f>
        <v>0</v>
      </c>
      <c r="J19" s="233">
        <f>'Исх данные'!G21</f>
        <v>0</v>
      </c>
      <c r="K19" s="233">
        <f>'Исх данные'!Q21*2</f>
        <v>0</v>
      </c>
      <c r="L19" s="234">
        <f>'Исх данные'!H21</f>
        <v>0</v>
      </c>
      <c r="M19" s="234"/>
      <c r="N19" s="234">
        <f>'Исх данные'!Q21*2</f>
        <v>0</v>
      </c>
      <c r="O19" s="234">
        <f>'Исх данные'!R21</f>
        <v>0</v>
      </c>
      <c r="P19" s="234">
        <f>IF('Исх данные'!G21&gt;0,'Исх данные'!G21-15,0)</f>
        <v>0</v>
      </c>
      <c r="Q19" s="234">
        <f>IF('Исх данные'!H21&gt;=250,'Исх данные'!H21-15,IF('Исх данные'!H21&lt;250,'Исх данные'!H21-6,0))</f>
        <v>-6</v>
      </c>
      <c r="R19" s="234">
        <f>'Исх данные'!Q21</f>
        <v>0</v>
      </c>
      <c r="S19" s="234">
        <f>'Исх данные'!R21</f>
        <v>0</v>
      </c>
      <c r="T19" s="234">
        <f>IF('Исх данные'!G21&gt;0,'Исх данные'!H21-0.6,0)</f>
        <v>0</v>
      </c>
      <c r="U19" s="234">
        <f>'Исх данные'!Q21*2</f>
        <v>0</v>
      </c>
      <c r="V19" s="234">
        <f>IF('Исх данные'!G21&gt;0,0.33*'Исх данные'!G21-43.6,0)</f>
        <v>0</v>
      </c>
      <c r="W19" s="234">
        <f>IF('Исх данные'!G21&lt;250,0,IF('Исх данные'!G21&gt;=250,2*'Исх данные'!Q21,0))</f>
        <v>0</v>
      </c>
      <c r="X19" s="234">
        <f>IF('Исх данные'!G21&gt;0,0.67*'Исх данные'!G21-43.6,0)</f>
        <v>0</v>
      </c>
      <c r="Y19" s="234">
        <f>IF('Исх данные'!G21&gt;0,2*'Исх данные'!Q21,0)</f>
        <v>0</v>
      </c>
      <c r="Z19" s="233">
        <f>'Исх данные'!Q21</f>
        <v>0</v>
      </c>
      <c r="AA19" s="233">
        <f>'Исх данные'!Q21</f>
        <v>0</v>
      </c>
      <c r="AB19" s="233" t="e">
        <f>#REF!</f>
        <v>#REF!</v>
      </c>
      <c r="AC19" s="233">
        <f>IF('Исх данные'!H21&lt;=600,0,IF('Исх данные'!H21&gt;600,1*'Исх данные'!Q21,0))</f>
        <v>0</v>
      </c>
      <c r="AD19" s="235">
        <f>IF('Исх данные'!H21&lt;=250,0,IF('Исх данные'!H21&lt;=650,1*'Исх данные'!Q21,IF('Исх данные'!H21&gt;650,2*'Исх данные'!Q21,0)))</f>
        <v>0</v>
      </c>
      <c r="AE19" s="189">
        <f>IF('Исх данные'!G21&gt;=800,'Исх данные'!Q21*4,IF('Исх данные'!H21&gt;=800,'Исх данные'!Q21*4,0))</f>
        <v>0</v>
      </c>
    </row>
    <row r="20" spans="1:31" s="162" customFormat="1" ht="15.75">
      <c r="B20" s="301"/>
      <c r="C20" s="302"/>
      <c r="D20" s="303"/>
      <c r="E20" s="231">
        <f t="shared" si="1"/>
        <v>14</v>
      </c>
      <c r="F20" s="232">
        <f>'Исх данные'!A22</f>
        <v>0</v>
      </c>
      <c r="G20" s="232" t="e">
        <f t="shared" si="0"/>
        <v>#NAME?</v>
      </c>
      <c r="H20" s="232"/>
      <c r="I20" s="232">
        <f>'Исх данные'!B22</f>
        <v>0</v>
      </c>
      <c r="J20" s="233">
        <f>'Исх данные'!G22</f>
        <v>0</v>
      </c>
      <c r="K20" s="233">
        <f>'Исх данные'!Q22*2</f>
        <v>0</v>
      </c>
      <c r="L20" s="234">
        <f>'Исх данные'!H22</f>
        <v>0</v>
      </c>
      <c r="M20" s="234"/>
      <c r="N20" s="234">
        <f>'Исх данные'!Q22*2</f>
        <v>0</v>
      </c>
      <c r="O20" s="234">
        <f>'Исх данные'!R22</f>
        <v>0</v>
      </c>
      <c r="P20" s="234">
        <f>IF('Исх данные'!G22&gt;0,'Исх данные'!G22-15,0)</f>
        <v>0</v>
      </c>
      <c r="Q20" s="234">
        <f>IF('Исх данные'!H22&gt;=250,'Исх данные'!H22-15,IF('Исх данные'!H22&lt;250,'Исх данные'!H22-6,0))</f>
        <v>-6</v>
      </c>
      <c r="R20" s="234">
        <f>'Исх данные'!Q22</f>
        <v>0</v>
      </c>
      <c r="S20" s="234">
        <f>'Исх данные'!R22</f>
        <v>0</v>
      </c>
      <c r="T20" s="234">
        <f>IF('Исх данные'!G22&gt;0,'Исх данные'!H22-0.6,0)</f>
        <v>0</v>
      </c>
      <c r="U20" s="234">
        <f>'Исх данные'!Q22*2</f>
        <v>0</v>
      </c>
      <c r="V20" s="234">
        <f>IF('Исх данные'!G22&gt;0,0.33*'Исх данные'!G22-43.6,0)</f>
        <v>0</v>
      </c>
      <c r="W20" s="234">
        <f>IF('Исх данные'!G22&lt;250,0,IF('Исх данные'!G22&gt;=250,2*'Исх данные'!Q22,0))</f>
        <v>0</v>
      </c>
      <c r="X20" s="234">
        <f>IF('Исх данные'!G22&gt;0,0.67*'Исх данные'!G22-43.6,0)</f>
        <v>0</v>
      </c>
      <c r="Y20" s="234">
        <f>IF('Исх данные'!G22&gt;0,2*'Исх данные'!Q22,0)</f>
        <v>0</v>
      </c>
      <c r="Z20" s="233">
        <f>'Исх данные'!Q22</f>
        <v>0</v>
      </c>
      <c r="AA20" s="233">
        <f>'Исх данные'!Q22</f>
        <v>0</v>
      </c>
      <c r="AB20" s="233" t="e">
        <f>#REF!</f>
        <v>#REF!</v>
      </c>
      <c r="AC20" s="233">
        <f>IF('Исх данные'!H22&lt;=600,0,IF('Исх данные'!H22&gt;600,1*'Исх данные'!Q22,0))</f>
        <v>0</v>
      </c>
      <c r="AD20" s="235">
        <f>IF('Исх данные'!H22&lt;=250,0,IF('Исх данные'!H22&lt;=650,1*'Исх данные'!Q22,IF('Исх данные'!H22&gt;650,2*'Исх данные'!Q22,0)))</f>
        <v>0</v>
      </c>
      <c r="AE20" s="189">
        <f>IF('Исх данные'!G22&gt;=800,'Исх данные'!Q22*4,IF('Исх данные'!H22&gt;=800,'Исх данные'!Q22*4,0))</f>
        <v>0</v>
      </c>
    </row>
    <row r="21" spans="1:31" s="162" customFormat="1" ht="15.75">
      <c r="B21" s="301"/>
      <c r="C21" s="302"/>
      <c r="D21" s="303"/>
      <c r="E21" s="231">
        <f t="shared" si="1"/>
        <v>15</v>
      </c>
      <c r="F21" s="232">
        <f>'Исх данные'!A23</f>
        <v>0</v>
      </c>
      <c r="G21" s="232" t="e">
        <f t="shared" si="0"/>
        <v>#NAME?</v>
      </c>
      <c r="H21" s="232"/>
      <c r="I21" s="232">
        <f>'Исх данные'!B23</f>
        <v>0</v>
      </c>
      <c r="J21" s="233">
        <f>'Исх данные'!G23</f>
        <v>0</v>
      </c>
      <c r="K21" s="233">
        <f>'Исх данные'!Q23*2</f>
        <v>0</v>
      </c>
      <c r="L21" s="234">
        <f>'Исх данные'!H23</f>
        <v>0</v>
      </c>
      <c r="M21" s="234"/>
      <c r="N21" s="234">
        <f>'Исх данные'!Q23*2</f>
        <v>0</v>
      </c>
      <c r="O21" s="234">
        <f>'Исх данные'!R23</f>
        <v>0</v>
      </c>
      <c r="P21" s="234">
        <f>IF('Исх данные'!G23&gt;0,'Исх данные'!G23-15,0)</f>
        <v>0</v>
      </c>
      <c r="Q21" s="234">
        <f>IF('Исх данные'!H23&gt;=250,'Исх данные'!H23-15,IF('Исх данные'!H23&lt;250,'Исх данные'!H23-6,0))</f>
        <v>-6</v>
      </c>
      <c r="R21" s="234">
        <f>'Исх данные'!Q23</f>
        <v>0</v>
      </c>
      <c r="S21" s="234">
        <f>'Исх данные'!R23</f>
        <v>0</v>
      </c>
      <c r="T21" s="234">
        <f>IF('Исх данные'!G23&gt;0,'Исх данные'!H23-0.6,0)</f>
        <v>0</v>
      </c>
      <c r="U21" s="234">
        <f>'Исх данные'!Q23*2</f>
        <v>0</v>
      </c>
      <c r="V21" s="234">
        <f>IF('Исх данные'!G23&gt;0,0.33*'Исх данные'!G23-43.6,0)</f>
        <v>0</v>
      </c>
      <c r="W21" s="234">
        <f>IF('Исх данные'!G23&lt;250,0,IF('Исх данные'!G23&gt;=250,2*'Исх данные'!Q23,0))</f>
        <v>0</v>
      </c>
      <c r="X21" s="234">
        <f>IF('Исх данные'!G23&gt;0,0.67*'Исх данные'!G23-43.6,0)</f>
        <v>0</v>
      </c>
      <c r="Y21" s="234">
        <f>IF('Исх данные'!G23&gt;0,2*'Исх данные'!Q23,0)</f>
        <v>0</v>
      </c>
      <c r="Z21" s="233">
        <f>'Исх данные'!Q23</f>
        <v>0</v>
      </c>
      <c r="AA21" s="233">
        <f>'Исх данные'!Q23</f>
        <v>0</v>
      </c>
      <c r="AB21" s="233" t="e">
        <f>#REF!</f>
        <v>#REF!</v>
      </c>
      <c r="AC21" s="233">
        <f>IF('Исх данные'!H23&lt;=600,0,IF('Исх данные'!H23&gt;600,1*'Исх данные'!Q23,0))</f>
        <v>0</v>
      </c>
      <c r="AD21" s="235">
        <f>IF('Исх данные'!H23&lt;=250,0,IF('Исх данные'!H23&lt;=650,1*'Исх данные'!Q23,IF('Исх данные'!H23&gt;650,2*'Исх данные'!Q23,0)))</f>
        <v>0</v>
      </c>
      <c r="AE21" s="189">
        <f>IF('Исх данные'!G23&gt;=800,'Исх данные'!Q23*4,IF('Исх данные'!H23&gt;=800,'Исх данные'!Q23*4,0))</f>
        <v>0</v>
      </c>
    </row>
    <row r="22" spans="1:31" s="162" customFormat="1" ht="15.75">
      <c r="B22" s="301"/>
      <c r="C22" s="302"/>
      <c r="D22" s="303"/>
      <c r="E22" s="231">
        <f t="shared" si="1"/>
        <v>16</v>
      </c>
      <c r="F22" s="232">
        <f>'Исх данные'!A24</f>
        <v>0</v>
      </c>
      <c r="G22" s="232" t="e">
        <f t="shared" si="0"/>
        <v>#NAME?</v>
      </c>
      <c r="H22" s="232"/>
      <c r="I22" s="232">
        <f>'Исх данные'!B24</f>
        <v>0</v>
      </c>
      <c r="J22" s="233">
        <f>'Исх данные'!G24</f>
        <v>0</v>
      </c>
      <c r="K22" s="233">
        <f>'Исх данные'!Q24*2</f>
        <v>0</v>
      </c>
      <c r="L22" s="234">
        <f>'Исх данные'!H24</f>
        <v>0</v>
      </c>
      <c r="M22" s="234"/>
      <c r="N22" s="234">
        <f>'Исх данные'!Q24*2</f>
        <v>0</v>
      </c>
      <c r="O22" s="234">
        <f>'Исх данные'!R24</f>
        <v>0</v>
      </c>
      <c r="P22" s="234">
        <f>IF('Исх данные'!G24&gt;0,'Исх данные'!G24-15,0)</f>
        <v>0</v>
      </c>
      <c r="Q22" s="234">
        <f>IF('Исх данные'!H24&gt;=250,'Исх данные'!H24-15,IF('Исх данные'!H24&lt;250,'Исх данные'!H24-6,0))</f>
        <v>-6</v>
      </c>
      <c r="R22" s="234">
        <f>'Исх данные'!Q24</f>
        <v>0</v>
      </c>
      <c r="S22" s="234">
        <f>'Исх данные'!R24</f>
        <v>0</v>
      </c>
      <c r="T22" s="234">
        <f>IF('Исх данные'!G24&gt;0,'Исх данные'!H24-0.6,0)</f>
        <v>0</v>
      </c>
      <c r="U22" s="234">
        <f>'Исх данные'!Q24*2</f>
        <v>0</v>
      </c>
      <c r="V22" s="234">
        <f>IF('Исх данные'!G24&gt;0,0.33*'Исх данные'!G24-43.6,0)</f>
        <v>0</v>
      </c>
      <c r="W22" s="234">
        <f>IF('Исх данные'!G24&lt;250,0,IF('Исх данные'!G24&gt;=250,2*'Исх данные'!Q24,0))</f>
        <v>0</v>
      </c>
      <c r="X22" s="234">
        <f>IF('Исх данные'!G24&gt;0,0.67*'Исх данные'!G24-43.6,0)</f>
        <v>0</v>
      </c>
      <c r="Y22" s="234">
        <f>IF('Исх данные'!G24&gt;0,2*'Исх данные'!Q24,0)</f>
        <v>0</v>
      </c>
      <c r="Z22" s="233">
        <f>'Исх данные'!Q24</f>
        <v>0</v>
      </c>
      <c r="AA22" s="233">
        <f>'Исх данные'!Q24</f>
        <v>0</v>
      </c>
      <c r="AB22" s="233" t="e">
        <f>#REF!</f>
        <v>#REF!</v>
      </c>
      <c r="AC22" s="233">
        <f>IF('Исх данные'!H24&lt;=600,0,IF('Исх данные'!H24&gt;600,1*'Исх данные'!Q24,0))</f>
        <v>0</v>
      </c>
      <c r="AD22" s="235">
        <f>IF('Исх данные'!H24&lt;=250,0,IF('Исх данные'!H24&lt;=650,1*'Исх данные'!Q24,IF('Исх данные'!H24&gt;650,2*'Исх данные'!Q24,0)))</f>
        <v>0</v>
      </c>
      <c r="AE22" s="189">
        <f>IF('Исх данные'!G24&gt;=800,'Исх данные'!Q24*4,IF('Исх данные'!H24&gt;=800,'Исх данные'!Q24*4,0))</f>
        <v>0</v>
      </c>
    </row>
    <row r="23" spans="1:31" s="162" customFormat="1" ht="15.75">
      <c r="B23" s="301"/>
      <c r="C23" s="302"/>
      <c r="D23" s="303"/>
      <c r="E23" s="231">
        <f t="shared" si="1"/>
        <v>17</v>
      </c>
      <c r="F23" s="232">
        <f>'Исх данные'!A25</f>
        <v>0</v>
      </c>
      <c r="G23" s="232" t="e">
        <f t="shared" si="0"/>
        <v>#NAME?</v>
      </c>
      <c r="H23" s="232"/>
      <c r="I23" s="232">
        <f>'Исх данные'!B25</f>
        <v>0</v>
      </c>
      <c r="J23" s="233">
        <f>'Исх данные'!G25</f>
        <v>0</v>
      </c>
      <c r="K23" s="233">
        <f>'Исх данные'!Q25*2</f>
        <v>0</v>
      </c>
      <c r="L23" s="234">
        <f>'Исх данные'!H25</f>
        <v>0</v>
      </c>
      <c r="M23" s="234"/>
      <c r="N23" s="234">
        <f>'Исх данные'!Q25*2</f>
        <v>0</v>
      </c>
      <c r="O23" s="234">
        <f>'Исх данные'!R25</f>
        <v>0</v>
      </c>
      <c r="P23" s="234">
        <f>IF('Исх данные'!G25&gt;0,'Исх данные'!G25-15,0)</f>
        <v>0</v>
      </c>
      <c r="Q23" s="234">
        <f>IF('Исх данные'!H25&gt;=250,'Исх данные'!H25-15,IF('Исх данные'!H25&lt;250,'Исх данные'!H25-6,0))</f>
        <v>-6</v>
      </c>
      <c r="R23" s="234">
        <f>'Исх данные'!Q25</f>
        <v>0</v>
      </c>
      <c r="S23" s="234">
        <f>'Исх данные'!R25</f>
        <v>0</v>
      </c>
      <c r="T23" s="234">
        <f>IF('Исх данные'!G25&gt;0,'Исх данные'!H25-0.6,0)</f>
        <v>0</v>
      </c>
      <c r="U23" s="234">
        <f>'Исх данные'!Q25*2</f>
        <v>0</v>
      </c>
      <c r="V23" s="234">
        <f>IF('Исх данные'!G25&gt;0,0.33*'Исх данные'!G25-43.6,0)</f>
        <v>0</v>
      </c>
      <c r="W23" s="234">
        <f>IF('Исх данные'!G25&lt;250,0,IF('Исх данные'!G25&gt;=250,2*'Исх данные'!Q25,0))</f>
        <v>0</v>
      </c>
      <c r="X23" s="234">
        <f>IF('Исх данные'!G25&gt;0,0.67*'Исх данные'!G25-43.6,0)</f>
        <v>0</v>
      </c>
      <c r="Y23" s="234">
        <f>IF('Исх данные'!G25&gt;0,2*'Исх данные'!Q25,0)</f>
        <v>0</v>
      </c>
      <c r="Z23" s="233">
        <f>'Исх данные'!Q25</f>
        <v>0</v>
      </c>
      <c r="AA23" s="233">
        <f>'Исх данные'!Q25</f>
        <v>0</v>
      </c>
      <c r="AB23" s="233" t="e">
        <f>#REF!</f>
        <v>#REF!</v>
      </c>
      <c r="AC23" s="233">
        <f>IF('Исх данные'!H25&lt;=600,0,IF('Исх данные'!H25&gt;600,1*'Исх данные'!Q25,0))</f>
        <v>0</v>
      </c>
      <c r="AD23" s="235">
        <f>IF('Исх данные'!H25&lt;=250,0,IF('Исх данные'!H25&lt;=650,1*'Исх данные'!Q25,IF('Исх данные'!H25&gt;650,2*'Исх данные'!Q25,0)))</f>
        <v>0</v>
      </c>
      <c r="AE23" s="189">
        <f>IF('Исх данные'!G25&gt;=800,'Исх данные'!Q25*4,IF('Исх данные'!H25&gt;=800,'Исх данные'!Q25*4,0))</f>
        <v>0</v>
      </c>
    </row>
    <row r="24" spans="1:31" s="162" customFormat="1" ht="16.5" thickBot="1">
      <c r="B24" s="301"/>
      <c r="C24" s="302"/>
      <c r="D24" s="303"/>
      <c r="E24" s="237">
        <f t="shared" si="1"/>
        <v>18</v>
      </c>
      <c r="F24" s="238">
        <f>'Исх данные'!A26</f>
        <v>0</v>
      </c>
      <c r="G24" s="238" t="e">
        <f t="shared" si="0"/>
        <v>#NAME?</v>
      </c>
      <c r="H24" s="238"/>
      <c r="I24" s="238">
        <f>'Исх данные'!B26</f>
        <v>0</v>
      </c>
      <c r="J24" s="239">
        <f>'Исх данные'!G26</f>
        <v>0</v>
      </c>
      <c r="K24" s="239">
        <f>'Исх данные'!Q26*2</f>
        <v>0</v>
      </c>
      <c r="L24" s="240">
        <f>'Исх данные'!H26</f>
        <v>0</v>
      </c>
      <c r="M24" s="240"/>
      <c r="N24" s="240">
        <f>'Исх данные'!Q26*2</f>
        <v>0</v>
      </c>
      <c r="O24" s="240">
        <f>'Исх данные'!R26</f>
        <v>0</v>
      </c>
      <c r="P24" s="240">
        <f>IF('Исх данные'!G26&gt;0,'Исх данные'!G26-15,0)</f>
        <v>0</v>
      </c>
      <c r="Q24" s="240">
        <f>IF('Исх данные'!H26&gt;=250,'Исх данные'!H26-15,IF('Исх данные'!H26&lt;250,'Исх данные'!H26-6,0))</f>
        <v>-6</v>
      </c>
      <c r="R24" s="240">
        <f>'Исх данные'!Q26</f>
        <v>0</v>
      </c>
      <c r="S24" s="240">
        <f>'Исх данные'!R26</f>
        <v>0</v>
      </c>
      <c r="T24" s="240">
        <f>IF('Исх данные'!G26&gt;0,'Исх данные'!H26-0.6,0)</f>
        <v>0</v>
      </c>
      <c r="U24" s="240">
        <f>'Исх данные'!Q26*2</f>
        <v>0</v>
      </c>
      <c r="V24" s="240">
        <f>IF('Исх данные'!G26&gt;0,0.33*'Исх данные'!G26-43.6,0)</f>
        <v>0</v>
      </c>
      <c r="W24" s="240">
        <f>IF('Исх данные'!G26&lt;250,0,IF('Исх данные'!G26&gt;=250,2*'Исх данные'!Q26,0))</f>
        <v>0</v>
      </c>
      <c r="X24" s="240">
        <f>IF('Исх данные'!G26&gt;0,0.67*'Исх данные'!G26-43.6,0)</f>
        <v>0</v>
      </c>
      <c r="Y24" s="240">
        <f>IF('Исх данные'!G26&gt;0,2*'Исх данные'!Q26,0)</f>
        <v>0</v>
      </c>
      <c r="Z24" s="239">
        <f>'Исх данные'!Q26</f>
        <v>0</v>
      </c>
      <c r="AA24" s="239">
        <f>'Исх данные'!Q26</f>
        <v>0</v>
      </c>
      <c r="AB24" s="239" t="e">
        <f>#REF!</f>
        <v>#REF!</v>
      </c>
      <c r="AC24" s="239">
        <f>IF('Исх данные'!H26&lt;=600,0,IF('Исх данные'!H26&gt;600,1*'Исх данные'!Q26,0))</f>
        <v>0</v>
      </c>
      <c r="AD24" s="241">
        <f>IF('Исх данные'!H26&lt;=250,0,IF('Исх данные'!H26&lt;=650,1*'Исх данные'!Q26,IF('Исх данные'!H26&gt;650,2*'Исх данные'!Q26,0)))</f>
        <v>0</v>
      </c>
      <c r="AE24" s="190">
        <f>IF('Исх данные'!G26&gt;=800,'Исх данные'!Q26*4,IF('Исх данные'!H26&gt;=800,'Исх данные'!Q26*4,0))</f>
        <v>0</v>
      </c>
    </row>
    <row r="25" spans="1:31" ht="19.5" thickBot="1">
      <c r="A25" s="317"/>
      <c r="B25" s="301"/>
      <c r="C25" s="302"/>
      <c r="D25" s="303"/>
      <c r="U25" s="139"/>
      <c r="V25" s="139"/>
      <c r="W25" s="139"/>
      <c r="X25" s="139"/>
      <c r="Y25" s="139"/>
      <c r="Z25" s="139"/>
      <c r="AA25" s="139"/>
      <c r="AB25" s="139"/>
    </row>
    <row r="26" spans="1:31" ht="15.75" thickBot="1">
      <c r="A26" s="317"/>
      <c r="B26" s="301"/>
      <c r="C26" s="302"/>
      <c r="D26" s="303"/>
      <c r="E26" s="304" t="s">
        <v>147</v>
      </c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5" t="s">
        <v>148</v>
      </c>
      <c r="U26" s="305"/>
      <c r="V26" s="304" t="s">
        <v>149</v>
      </c>
      <c r="W26" s="304"/>
      <c r="X26" s="304" t="s">
        <v>143</v>
      </c>
      <c r="Y26" s="304"/>
      <c r="Z26" s="148" t="s">
        <v>150</v>
      </c>
      <c r="AA26" s="140"/>
    </row>
    <row r="27" spans="1:31" ht="15.75">
      <c r="A27" s="317"/>
      <c r="B27" s="301"/>
      <c r="C27" s="302"/>
      <c r="D27" s="303"/>
      <c r="E27" s="308"/>
      <c r="F27" s="309"/>
      <c r="G27" s="309"/>
      <c r="H27" s="309"/>
      <c r="I27" s="309"/>
      <c r="J27" s="309"/>
      <c r="K27" s="309"/>
      <c r="L27" s="309"/>
      <c r="M27" s="309"/>
      <c r="N27" s="309"/>
      <c r="O27" s="309"/>
      <c r="P27" s="309"/>
      <c r="Q27" s="309"/>
      <c r="R27" s="309"/>
      <c r="S27" s="309"/>
      <c r="T27" s="310"/>
      <c r="U27" s="311"/>
      <c r="V27" s="310"/>
      <c r="W27" s="311"/>
      <c r="X27" s="299"/>
      <c r="Y27" s="299"/>
      <c r="Z27" s="161"/>
      <c r="AA27" s="141"/>
    </row>
    <row r="28" spans="1:31" ht="28.5">
      <c r="A28" s="317"/>
      <c r="B28" s="301"/>
      <c r="C28" s="302"/>
      <c r="D28" s="303"/>
      <c r="E28" s="297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89"/>
      <c r="U28" s="290"/>
      <c r="V28" s="289"/>
      <c r="W28" s="290"/>
      <c r="X28" s="291"/>
      <c r="Y28" s="291"/>
      <c r="Z28" s="158"/>
      <c r="AA28" s="141"/>
    </row>
    <row r="29" spans="1:31" ht="28.5">
      <c r="A29" s="317"/>
      <c r="B29" s="301"/>
      <c r="C29" s="302"/>
      <c r="D29" s="303"/>
      <c r="E29" s="297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89"/>
      <c r="U29" s="290"/>
      <c r="V29" s="289"/>
      <c r="W29" s="290"/>
      <c r="X29" s="291"/>
      <c r="Y29" s="291"/>
      <c r="Z29" s="158"/>
      <c r="AA29" s="141"/>
    </row>
    <row r="30" spans="1:31" ht="28.5">
      <c r="A30" s="317"/>
      <c r="B30" s="301"/>
      <c r="C30" s="302"/>
      <c r="D30" s="303"/>
      <c r="E30" s="297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298"/>
      <c r="R30" s="298"/>
      <c r="S30" s="298"/>
      <c r="T30" s="289"/>
      <c r="U30" s="290"/>
      <c r="V30" s="289"/>
      <c r="W30" s="290"/>
      <c r="X30" s="291"/>
      <c r="Y30" s="291"/>
      <c r="Z30" s="158"/>
      <c r="AA30" s="141"/>
    </row>
    <row r="31" spans="1:31" ht="28.5">
      <c r="A31" s="317"/>
      <c r="B31" s="301"/>
      <c r="C31" s="302"/>
      <c r="D31" s="303"/>
      <c r="E31" s="297"/>
      <c r="F31" s="298"/>
      <c r="G31" s="298"/>
      <c r="H31" s="298"/>
      <c r="I31" s="298"/>
      <c r="J31" s="298"/>
      <c r="K31" s="298"/>
      <c r="L31" s="298"/>
      <c r="M31" s="298"/>
      <c r="N31" s="298"/>
      <c r="O31" s="298"/>
      <c r="P31" s="298"/>
      <c r="Q31" s="298"/>
      <c r="R31" s="298"/>
      <c r="S31" s="298"/>
      <c r="T31" s="289"/>
      <c r="U31" s="290"/>
      <c r="V31" s="289"/>
      <c r="W31" s="290"/>
      <c r="X31" s="291"/>
      <c r="Y31" s="291"/>
      <c r="Z31" s="158"/>
      <c r="AA31" s="141"/>
    </row>
    <row r="32" spans="1:31" ht="28.5">
      <c r="A32" s="317"/>
      <c r="B32" s="301"/>
      <c r="C32" s="302"/>
      <c r="D32" s="303"/>
      <c r="E32" s="297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89"/>
      <c r="U32" s="290"/>
      <c r="V32" s="289"/>
      <c r="W32" s="290"/>
      <c r="X32" s="291"/>
      <c r="Y32" s="291"/>
      <c r="Z32" s="158"/>
      <c r="AA32" s="141"/>
    </row>
    <row r="33" spans="1:28" ht="28.5">
      <c r="A33" s="317"/>
      <c r="B33" s="301"/>
      <c r="C33" s="302"/>
      <c r="D33" s="303"/>
      <c r="E33" s="297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89"/>
      <c r="U33" s="290"/>
      <c r="V33" s="289"/>
      <c r="W33" s="290"/>
      <c r="X33" s="291"/>
      <c r="Y33" s="291"/>
      <c r="Z33" s="158"/>
      <c r="AA33" s="141"/>
    </row>
    <row r="34" spans="1:28" ht="28.5">
      <c r="A34" s="317"/>
      <c r="B34" s="301"/>
      <c r="C34" s="302"/>
      <c r="D34" s="303"/>
      <c r="E34" s="297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89"/>
      <c r="U34" s="290"/>
      <c r="V34" s="289"/>
      <c r="W34" s="290"/>
      <c r="X34" s="291"/>
      <c r="Y34" s="291"/>
      <c r="Z34" s="158"/>
      <c r="AA34" s="141"/>
    </row>
    <row r="35" spans="1:28" ht="28.5">
      <c r="E35" s="297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89"/>
      <c r="U35" s="290"/>
      <c r="V35" s="289"/>
      <c r="W35" s="290"/>
      <c r="X35" s="291"/>
      <c r="Y35" s="291"/>
      <c r="Z35" s="158"/>
      <c r="AA35" s="141"/>
    </row>
    <row r="36" spans="1:28" ht="29.25" thickBot="1">
      <c r="E36" s="292"/>
      <c r="F36" s="293"/>
      <c r="G36" s="293"/>
      <c r="H36" s="293"/>
      <c r="I36" s="293"/>
      <c r="J36" s="293"/>
      <c r="K36" s="293"/>
      <c r="L36" s="293"/>
      <c r="M36" s="293"/>
      <c r="N36" s="293"/>
      <c r="O36" s="293"/>
      <c r="P36" s="293"/>
      <c r="Q36" s="293"/>
      <c r="R36" s="293"/>
      <c r="S36" s="293"/>
      <c r="T36" s="294"/>
      <c r="U36" s="295"/>
      <c r="V36" s="294"/>
      <c r="W36" s="295"/>
      <c r="X36" s="296"/>
      <c r="Y36" s="296"/>
      <c r="Z36" s="159"/>
      <c r="AA36" s="141"/>
    </row>
    <row r="37" spans="1:28" ht="15.75" thickBot="1">
      <c r="E37" s="130"/>
      <c r="F37" s="140"/>
      <c r="G37" s="140"/>
      <c r="H37" s="140"/>
      <c r="I37" s="140"/>
      <c r="J37" s="142"/>
      <c r="K37" s="142"/>
      <c r="L37" s="142"/>
      <c r="M37" s="142"/>
      <c r="N37" s="142"/>
      <c r="O37" s="312"/>
      <c r="P37" s="312"/>
      <c r="Q37" s="160"/>
      <c r="R37" s="313" t="s">
        <v>151</v>
      </c>
      <c r="S37" s="314"/>
      <c r="T37" s="315"/>
      <c r="U37" s="316"/>
      <c r="V37" s="140"/>
      <c r="W37" s="140"/>
      <c r="X37" s="130"/>
      <c r="Y37" s="130"/>
      <c r="Z37" s="130"/>
      <c r="AA37" s="130"/>
      <c r="AB37" s="130"/>
    </row>
    <row r="38" spans="1:28">
      <c r="E38" s="130"/>
      <c r="F38" s="140"/>
      <c r="G38" s="140"/>
      <c r="H38" s="140"/>
      <c r="I38" s="140"/>
      <c r="J38" s="142"/>
      <c r="K38" s="142"/>
      <c r="L38" s="142"/>
      <c r="M38" s="142"/>
      <c r="N38" s="142"/>
      <c r="O38" s="140"/>
      <c r="P38" s="140"/>
      <c r="Q38" s="140"/>
      <c r="R38" s="140"/>
      <c r="S38" s="140"/>
      <c r="T38" s="140"/>
      <c r="U38" s="140"/>
      <c r="V38" s="140"/>
      <c r="W38" s="140"/>
      <c r="X38" s="130"/>
      <c r="Y38" s="130"/>
      <c r="Z38" s="130"/>
      <c r="AA38" s="130"/>
      <c r="AB38" s="130"/>
    </row>
    <row r="39" spans="1:28" ht="36">
      <c r="D39" s="150"/>
      <c r="E39" s="130"/>
      <c r="F39" s="130"/>
      <c r="H39" s="130"/>
      <c r="I39" s="130"/>
      <c r="J39" s="143"/>
      <c r="K39" s="143"/>
      <c r="L39" s="143"/>
      <c r="M39" s="143"/>
      <c r="N39" s="143"/>
      <c r="O39" s="143"/>
      <c r="P39" s="144"/>
      <c r="Q39" s="144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</row>
    <row r="40" spans="1:28" ht="22.5">
      <c r="C40" s="146"/>
      <c r="D40" s="146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6"/>
    </row>
    <row r="41" spans="1:28" ht="22.5">
      <c r="C41" s="146"/>
      <c r="D41" s="146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6"/>
    </row>
    <row r="42" spans="1:28" ht="22.5">
      <c r="C42" s="146"/>
      <c r="D42" s="146" t="s">
        <v>157</v>
      </c>
      <c r="E42" s="146"/>
      <c r="F42" s="146"/>
      <c r="G42" s="146"/>
      <c r="H42" s="146" t="s">
        <v>152</v>
      </c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</row>
    <row r="43" spans="1:28" ht="22.5"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7" t="s">
        <v>153</v>
      </c>
      <c r="Q43" s="147"/>
      <c r="R43" s="146"/>
      <c r="S43" s="146"/>
      <c r="T43" s="146"/>
      <c r="U43" s="146"/>
      <c r="V43" s="146"/>
      <c r="W43" s="146"/>
    </row>
  </sheetData>
  <mergeCells count="63">
    <mergeCell ref="O37:P37"/>
    <mergeCell ref="R37:S37"/>
    <mergeCell ref="T37:U37"/>
    <mergeCell ref="A25:A34"/>
    <mergeCell ref="V26:W26"/>
    <mergeCell ref="E33:S33"/>
    <mergeCell ref="T33:U33"/>
    <mergeCell ref="E31:S31"/>
    <mergeCell ref="T31:U31"/>
    <mergeCell ref="E29:S29"/>
    <mergeCell ref="T29:U29"/>
    <mergeCell ref="V29:W29"/>
    <mergeCell ref="V31:W31"/>
    <mergeCell ref="V33:W33"/>
    <mergeCell ref="E35:S35"/>
    <mergeCell ref="T35:U35"/>
    <mergeCell ref="V5:W5"/>
    <mergeCell ref="X5:Y5"/>
    <mergeCell ref="AA5:AB5"/>
    <mergeCell ref="B9:B34"/>
    <mergeCell ref="C17:C34"/>
    <mergeCell ref="D17:D34"/>
    <mergeCell ref="E26:S26"/>
    <mergeCell ref="T26:U26"/>
    <mergeCell ref="X26:Y26"/>
    <mergeCell ref="P5:Q5"/>
    <mergeCell ref="B3:C8"/>
    <mergeCell ref="F4:AC4"/>
    <mergeCell ref="T5:U5"/>
    <mergeCell ref="E27:S27"/>
    <mergeCell ref="T27:U27"/>
    <mergeCell ref="V27:W27"/>
    <mergeCell ref="X27:Y27"/>
    <mergeCell ref="E28:S28"/>
    <mergeCell ref="T28:U28"/>
    <mergeCell ref="V28:W28"/>
    <mergeCell ref="X28:Y28"/>
    <mergeCell ref="X29:Y29"/>
    <mergeCell ref="E30:S30"/>
    <mergeCell ref="T30:U30"/>
    <mergeCell ref="V30:W30"/>
    <mergeCell ref="X30:Y30"/>
    <mergeCell ref="X31:Y31"/>
    <mergeCell ref="E32:S32"/>
    <mergeCell ref="T32:U32"/>
    <mergeCell ref="V32:W32"/>
    <mergeCell ref="X32:Y32"/>
    <mergeCell ref="X33:Y33"/>
    <mergeCell ref="E34:S34"/>
    <mergeCell ref="T34:U34"/>
    <mergeCell ref="V34:W34"/>
    <mergeCell ref="X34:Y34"/>
    <mergeCell ref="V35:W35"/>
    <mergeCell ref="X35:Y35"/>
    <mergeCell ref="E36:S36"/>
    <mergeCell ref="T36:U36"/>
    <mergeCell ref="V36:W36"/>
    <mergeCell ref="X36:Y36"/>
    <mergeCell ref="F5:F6"/>
    <mergeCell ref="E5:E6"/>
    <mergeCell ref="I5:I6"/>
    <mergeCell ref="O5:O6"/>
    <mergeCell ref="S5:S6"/>
  </mergeCells>
  <pageMargins left="0.70866141732283472" right="0.70866141732283472" top="0.74803149606299213" bottom="0.74803149606299213" header="0.31496062992125984" footer="0.31496062992125984"/>
  <pageSetup paperSize="9" scale="40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Q42"/>
  <sheetViews>
    <sheetView topLeftCell="D1" zoomScale="89" zoomScaleNormal="89" workbookViewId="0">
      <selection activeCell="J32" sqref="J32"/>
    </sheetView>
  </sheetViews>
  <sheetFormatPr defaultRowHeight="15"/>
  <cols>
    <col min="3" max="3" width="0" hidden="1" customWidth="1"/>
    <col min="4" max="4" width="9.42578125" bestFit="1" customWidth="1"/>
    <col min="7" max="7" width="0" hidden="1" customWidth="1"/>
    <col min="12" max="12" width="0" hidden="1" customWidth="1"/>
    <col min="25" max="25" width="14.7109375" customWidth="1"/>
    <col min="26" max="26" width="15.5703125" customWidth="1"/>
    <col min="27" max="27" width="16" customWidth="1"/>
    <col min="28" max="28" width="14.28515625" customWidth="1"/>
    <col min="29" max="29" width="14.42578125" customWidth="1"/>
    <col min="33" max="33" width="19.85546875" customWidth="1"/>
    <col min="34" max="34" width="17.42578125" customWidth="1"/>
    <col min="35" max="36" width="17" customWidth="1"/>
    <col min="37" max="37" width="18" customWidth="1"/>
    <col min="38" max="38" width="14.5703125" customWidth="1"/>
    <col min="39" max="39" width="15.85546875" customWidth="1"/>
    <col min="40" max="40" width="13.5703125" customWidth="1"/>
    <col min="41" max="41" width="14" customWidth="1"/>
    <col min="42" max="42" width="15.85546875" customWidth="1"/>
    <col min="43" max="43" width="15.140625" customWidth="1"/>
  </cols>
  <sheetData>
    <row r="1" spans="1:43">
      <c r="E1" t="s">
        <v>134</v>
      </c>
    </row>
    <row r="2" spans="1:43" ht="26.25">
      <c r="E2" s="58" t="s">
        <v>168</v>
      </c>
      <c r="F2" s="132"/>
      <c r="G2" s="133"/>
      <c r="H2" s="133"/>
      <c r="I2" s="134"/>
      <c r="J2" s="134"/>
      <c r="W2" s="134"/>
      <c r="X2" s="134"/>
      <c r="Y2" s="134"/>
    </row>
    <row r="3" spans="1:43" ht="26.25">
      <c r="B3" s="320">
        <f>'Исх данные'!H6</f>
        <v>0</v>
      </c>
      <c r="C3" s="320"/>
      <c r="F3" s="136"/>
      <c r="G3" s="136"/>
      <c r="H3" s="136"/>
      <c r="I3" s="134"/>
      <c r="J3" s="134"/>
    </row>
    <row r="4" spans="1:43" ht="33.75" thickBot="1">
      <c r="B4" s="320"/>
      <c r="C4" s="320"/>
      <c r="E4" s="130"/>
      <c r="F4" s="307" t="s">
        <v>167</v>
      </c>
      <c r="G4" s="307"/>
      <c r="H4" s="307"/>
      <c r="I4" s="307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307"/>
      <c r="W4" s="307"/>
      <c r="X4" s="307"/>
      <c r="Y4" s="307"/>
      <c r="Z4" s="307"/>
      <c r="AA4" s="307"/>
    </row>
    <row r="5" spans="1:43" ht="48" customHeight="1">
      <c r="B5" s="320"/>
      <c r="C5" s="320"/>
      <c r="D5" s="303" t="s">
        <v>172</v>
      </c>
      <c r="E5" s="283" t="s">
        <v>137</v>
      </c>
      <c r="F5" s="281" t="s">
        <v>138</v>
      </c>
      <c r="G5" s="152" t="s">
        <v>139</v>
      </c>
      <c r="H5" s="285" t="s">
        <v>139</v>
      </c>
      <c r="I5" s="218" t="s">
        <v>141</v>
      </c>
      <c r="J5" s="218" t="s">
        <v>197</v>
      </c>
      <c r="K5" s="218" t="s">
        <v>142</v>
      </c>
      <c r="L5" s="153"/>
      <c r="M5" s="218" t="s">
        <v>197</v>
      </c>
      <c r="N5" s="287" t="s">
        <v>143</v>
      </c>
      <c r="O5" s="287" t="s">
        <v>145</v>
      </c>
      <c r="P5" s="287"/>
      <c r="Q5" s="218" t="s">
        <v>197</v>
      </c>
      <c r="R5" s="287" t="s">
        <v>143</v>
      </c>
      <c r="S5" s="300" t="s">
        <v>128</v>
      </c>
      <c r="T5" s="300"/>
      <c r="U5" s="287" t="s">
        <v>163</v>
      </c>
      <c r="V5" s="287"/>
      <c r="W5" s="300" t="s">
        <v>164</v>
      </c>
      <c r="X5" s="300"/>
      <c r="Y5" s="219" t="s">
        <v>120</v>
      </c>
      <c r="Z5" s="219" t="s">
        <v>127</v>
      </c>
      <c r="AA5" s="153" t="s">
        <v>121</v>
      </c>
      <c r="AB5" s="156" t="s">
        <v>122</v>
      </c>
      <c r="AC5" s="157" t="s">
        <v>165</v>
      </c>
      <c r="AF5" s="196"/>
      <c r="AG5" s="261" t="s">
        <v>129</v>
      </c>
      <c r="AH5" s="262"/>
      <c r="AI5" s="262"/>
      <c r="AJ5" s="262"/>
      <c r="AK5" s="262"/>
      <c r="AL5" s="262"/>
      <c r="AM5" s="262"/>
      <c r="AN5" s="262"/>
      <c r="AO5" s="262"/>
      <c r="AP5" s="212"/>
      <c r="AQ5" s="61"/>
    </row>
    <row r="6" spans="1:43" ht="42.75" customHeight="1" thickBot="1">
      <c r="B6" s="320"/>
      <c r="C6" s="320"/>
      <c r="D6" s="303"/>
      <c r="E6" s="284"/>
      <c r="F6" s="282"/>
      <c r="G6" s="154"/>
      <c r="H6" s="286"/>
      <c r="I6" s="155" t="s">
        <v>166</v>
      </c>
      <c r="J6" s="155" t="s">
        <v>146</v>
      </c>
      <c r="K6" s="155" t="s">
        <v>32</v>
      </c>
      <c r="L6" s="155"/>
      <c r="M6" s="155" t="s">
        <v>146</v>
      </c>
      <c r="N6" s="288"/>
      <c r="O6" s="155" t="s">
        <v>162</v>
      </c>
      <c r="P6" s="155" t="s">
        <v>32</v>
      </c>
      <c r="Q6" s="155" t="s">
        <v>146</v>
      </c>
      <c r="R6" s="288"/>
      <c r="S6" s="223" t="s">
        <v>178</v>
      </c>
      <c r="T6" s="223" t="s">
        <v>146</v>
      </c>
      <c r="U6" s="223" t="s">
        <v>178</v>
      </c>
      <c r="V6" s="223" t="s">
        <v>146</v>
      </c>
      <c r="W6" s="223" t="s">
        <v>178</v>
      </c>
      <c r="X6" s="223" t="s">
        <v>146</v>
      </c>
      <c r="Y6" s="223" t="s">
        <v>146</v>
      </c>
      <c r="Z6" s="223" t="s">
        <v>146</v>
      </c>
      <c r="AA6" s="223" t="s">
        <v>146</v>
      </c>
      <c r="AB6" s="223" t="s">
        <v>146</v>
      </c>
      <c r="AC6" s="224" t="s">
        <v>146</v>
      </c>
      <c r="AF6" s="196"/>
      <c r="AG6" s="209" t="s">
        <v>186</v>
      </c>
      <c r="AH6" s="209" t="s">
        <v>187</v>
      </c>
      <c r="AI6" s="117" t="s">
        <v>188</v>
      </c>
      <c r="AJ6" s="117" t="s">
        <v>189</v>
      </c>
      <c r="AK6" s="117" t="s">
        <v>190</v>
      </c>
      <c r="AL6" s="117" t="s">
        <v>191</v>
      </c>
      <c r="AM6" s="117" t="s">
        <v>192</v>
      </c>
      <c r="AN6" s="117" t="s">
        <v>193</v>
      </c>
      <c r="AO6" s="211" t="s">
        <v>194</v>
      </c>
      <c r="AP6" s="211" t="s">
        <v>195</v>
      </c>
      <c r="AQ6" s="117" t="s">
        <v>196</v>
      </c>
    </row>
    <row r="7" spans="1:43" s="162" customFormat="1" ht="15.75">
      <c r="B7" s="320"/>
      <c r="C7" s="320"/>
      <c r="D7" s="303"/>
      <c r="E7" s="225">
        <v>1</v>
      </c>
      <c r="F7" s="226">
        <f>'Исх данные'!A9</f>
        <v>0</v>
      </c>
      <c r="G7" s="226">
        <f ca="1">Гибка!F:AA</f>
        <v>0</v>
      </c>
      <c r="H7" s="226">
        <f>'Исх данные'!B9</f>
        <v>0</v>
      </c>
      <c r="I7" s="227">
        <f>'Исх данные'!G9</f>
        <v>0</v>
      </c>
      <c r="J7" s="227">
        <f>TRUMPF!K7</f>
        <v>0</v>
      </c>
      <c r="K7" s="228">
        <f>'Исх данные'!H9</f>
        <v>0</v>
      </c>
      <c r="L7" s="228"/>
      <c r="M7" s="228">
        <f>TRUMPF!N7</f>
        <v>0</v>
      </c>
      <c r="N7" s="228">
        <f>'Исх данные'!R9</f>
        <v>0</v>
      </c>
      <c r="O7" s="228">
        <f>TRUMPF!P7</f>
        <v>0</v>
      </c>
      <c r="P7" s="228">
        <f>TRUMPF!Q7</f>
        <v>-6</v>
      </c>
      <c r="Q7" s="228">
        <f>TRUMPF!R7</f>
        <v>0</v>
      </c>
      <c r="R7" s="228">
        <f>'Исх данные'!R9</f>
        <v>0</v>
      </c>
      <c r="S7" s="228">
        <f>TRUMPF!T7</f>
        <v>0</v>
      </c>
      <c r="T7" s="228">
        <f>TRUMPF!U7</f>
        <v>0</v>
      </c>
      <c r="U7" s="228">
        <f>TRUMPF!V7</f>
        <v>0</v>
      </c>
      <c r="V7" s="228">
        <f>TRUMPF!W7</f>
        <v>0</v>
      </c>
      <c r="W7" s="228">
        <f>TRUMPF!X7</f>
        <v>0</v>
      </c>
      <c r="X7" s="228">
        <f>TRUMPF!Y7</f>
        <v>0</v>
      </c>
      <c r="Y7" s="227">
        <f>TRUMPF!Z7</f>
        <v>0</v>
      </c>
      <c r="Z7" s="227">
        <f>TRUMPF!AA7</f>
        <v>0</v>
      </c>
      <c r="AA7" s="227">
        <f>'хол корп'!J9</f>
        <v>0</v>
      </c>
      <c r="AB7" s="229">
        <f>TRUMPF!AD7</f>
        <v>0</v>
      </c>
      <c r="AC7" s="230">
        <f>TRUMPF!AE7</f>
        <v>0</v>
      </c>
      <c r="AF7"/>
      <c r="AG7" s="61">
        <f>Нормы!$E$5*M7</f>
        <v>0</v>
      </c>
      <c r="AH7" s="61">
        <f>Нормы!$B$5*J7</f>
        <v>0</v>
      </c>
      <c r="AI7" s="61">
        <f>Нормы!$B$5*Гибка!X7</f>
        <v>0</v>
      </c>
      <c r="AJ7" s="61">
        <f>Нормы!$B$5*Гибка!V7</f>
        <v>0</v>
      </c>
      <c r="AK7" s="61">
        <f>Нормы!$B$5*Гибка!T7</f>
        <v>0</v>
      </c>
      <c r="AL7" s="61">
        <f>Нормы!$C$4*Гибка!Q7</f>
        <v>0</v>
      </c>
      <c r="AM7" s="61">
        <f>Нормы!$C$6*Гибка!Z7</f>
        <v>0</v>
      </c>
      <c r="AN7" s="61">
        <f>Нормы!$C$5*Гибка!AA7</f>
        <v>0</v>
      </c>
      <c r="AO7" s="212">
        <f>Нормы!$C$5*Гибка!Y7</f>
        <v>0</v>
      </c>
      <c r="AP7" s="215">
        <f>Нормы!$D$4*Гибка!AB7</f>
        <v>0</v>
      </c>
      <c r="AQ7" s="214">
        <f>Нормы!$B$5*Гибка!AC7</f>
        <v>0</v>
      </c>
    </row>
    <row r="8" spans="1:43" s="162" customFormat="1" ht="15.75">
      <c r="B8" s="320"/>
      <c r="C8" s="320"/>
      <c r="D8" s="303"/>
      <c r="E8" s="231">
        <f>E7+1</f>
        <v>2</v>
      </c>
      <c r="F8" s="232">
        <f>'Исх данные'!A10</f>
        <v>0</v>
      </c>
      <c r="G8" s="232">
        <f ca="1">Гибка!F:AA</f>
        <v>0</v>
      </c>
      <c r="H8" s="232">
        <f>'Исх данные'!B10</f>
        <v>0</v>
      </c>
      <c r="I8" s="233">
        <f>'Исх данные'!G10</f>
        <v>0</v>
      </c>
      <c r="J8" s="233">
        <f>TRUMPF!K8</f>
        <v>0</v>
      </c>
      <c r="K8" s="234">
        <f>'Исх данные'!H10</f>
        <v>0</v>
      </c>
      <c r="L8" s="234"/>
      <c r="M8" s="234">
        <f>TRUMPF!N8</f>
        <v>0</v>
      </c>
      <c r="N8" s="234">
        <f>'Исх данные'!R10</f>
        <v>0</v>
      </c>
      <c r="O8" s="234">
        <f>TRUMPF!P8</f>
        <v>0</v>
      </c>
      <c r="P8" s="234">
        <f>TRUMPF!Q8</f>
        <v>-6</v>
      </c>
      <c r="Q8" s="234">
        <f>TRUMPF!R8</f>
        <v>0</v>
      </c>
      <c r="R8" s="234">
        <f>'Исх данные'!R10</f>
        <v>0</v>
      </c>
      <c r="S8" s="234">
        <f>TRUMPF!T8</f>
        <v>0</v>
      </c>
      <c r="T8" s="234">
        <f>TRUMPF!U8</f>
        <v>0</v>
      </c>
      <c r="U8" s="234">
        <f>TRUMPF!V8</f>
        <v>0</v>
      </c>
      <c r="V8" s="234">
        <f>TRUMPF!W8</f>
        <v>0</v>
      </c>
      <c r="W8" s="234">
        <f>TRUMPF!X8</f>
        <v>0</v>
      </c>
      <c r="X8" s="234">
        <f>TRUMPF!Y8</f>
        <v>0</v>
      </c>
      <c r="Y8" s="233">
        <f>TRUMPF!Z8</f>
        <v>0</v>
      </c>
      <c r="Z8" s="233">
        <f>TRUMPF!AA8</f>
        <v>0</v>
      </c>
      <c r="AA8" s="233">
        <f>'хол корп'!J10</f>
        <v>0</v>
      </c>
      <c r="AB8" s="235">
        <f>TRUMPF!AD8</f>
        <v>0</v>
      </c>
      <c r="AC8" s="236">
        <f>TRUMPF!AE8</f>
        <v>0</v>
      </c>
      <c r="AF8"/>
      <c r="AG8" s="61">
        <f>Нормы!$E$5*M8</f>
        <v>0</v>
      </c>
      <c r="AH8" s="61">
        <f>Нормы!$B$5*J8</f>
        <v>0</v>
      </c>
      <c r="AI8" s="61">
        <f>Нормы!$B$5*Гибка!X8</f>
        <v>0</v>
      </c>
      <c r="AJ8" s="61">
        <f>Нормы!$B$5*Гибка!V8</f>
        <v>0</v>
      </c>
      <c r="AK8" s="61">
        <f>Нормы!$B$5*Гибка!T8</f>
        <v>0</v>
      </c>
      <c r="AL8" s="61">
        <f>Нормы!$C$4*Гибка!Q8</f>
        <v>0</v>
      </c>
      <c r="AM8" s="61">
        <f>Нормы!$C$6*Гибка!Z8</f>
        <v>0</v>
      </c>
      <c r="AN8" s="61">
        <f>Нормы!$C$5*Гибка!AA8</f>
        <v>0</v>
      </c>
      <c r="AO8" s="212">
        <f>Нормы!$C$5*Гибка!Y8</f>
        <v>0</v>
      </c>
      <c r="AP8" s="215">
        <f>Нормы!$D$4*Гибка!AB8</f>
        <v>0</v>
      </c>
      <c r="AQ8" s="214">
        <f>Нормы!$B$5*Гибка!AC8</f>
        <v>0</v>
      </c>
    </row>
    <row r="9" spans="1:43" s="162" customFormat="1" ht="20.25" customHeight="1">
      <c r="B9" s="319" t="s">
        <v>154</v>
      </c>
      <c r="D9" s="303"/>
      <c r="E9" s="231">
        <f t="shared" ref="E9:E24" si="0">E8+1</f>
        <v>3</v>
      </c>
      <c r="F9" s="232">
        <f>'Исх данные'!A11</f>
        <v>0</v>
      </c>
      <c r="G9" s="232">
        <f ca="1">Гибка!F:AA</f>
        <v>0</v>
      </c>
      <c r="H9" s="232">
        <f>'Исх данные'!B11</f>
        <v>0</v>
      </c>
      <c r="I9" s="233">
        <f>'Исх данные'!G11</f>
        <v>0</v>
      </c>
      <c r="J9" s="233">
        <f>TRUMPF!K9</f>
        <v>0</v>
      </c>
      <c r="K9" s="234">
        <f>'Исх данные'!H11</f>
        <v>0</v>
      </c>
      <c r="L9" s="234"/>
      <c r="M9" s="234">
        <f>TRUMPF!N9</f>
        <v>0</v>
      </c>
      <c r="N9" s="234">
        <f>'Исх данные'!R11</f>
        <v>0</v>
      </c>
      <c r="O9" s="234">
        <f>TRUMPF!P9</f>
        <v>0</v>
      </c>
      <c r="P9" s="234">
        <f>TRUMPF!Q9</f>
        <v>-6</v>
      </c>
      <c r="Q9" s="234">
        <f>TRUMPF!R9</f>
        <v>0</v>
      </c>
      <c r="R9" s="234">
        <f>'Исх данные'!R11</f>
        <v>0</v>
      </c>
      <c r="S9" s="234">
        <f>TRUMPF!T9</f>
        <v>0</v>
      </c>
      <c r="T9" s="234">
        <f>TRUMPF!U9</f>
        <v>0</v>
      </c>
      <c r="U9" s="234">
        <f>TRUMPF!V9</f>
        <v>0</v>
      </c>
      <c r="V9" s="234">
        <f>TRUMPF!W9</f>
        <v>0</v>
      </c>
      <c r="W9" s="234">
        <f>TRUMPF!X9</f>
        <v>0</v>
      </c>
      <c r="X9" s="234">
        <f>TRUMPF!Y9</f>
        <v>0</v>
      </c>
      <c r="Y9" s="233">
        <f>TRUMPF!Z9</f>
        <v>0</v>
      </c>
      <c r="Z9" s="233">
        <f>TRUMPF!AA9</f>
        <v>0</v>
      </c>
      <c r="AA9" s="233">
        <f>'хол корп'!J11</f>
        <v>0</v>
      </c>
      <c r="AB9" s="235">
        <f>TRUMPF!AD9</f>
        <v>0</v>
      </c>
      <c r="AC9" s="236">
        <f>TRUMPF!AE9</f>
        <v>0</v>
      </c>
      <c r="AF9"/>
      <c r="AG9" s="61">
        <f>Нормы!$E$5*M9</f>
        <v>0</v>
      </c>
      <c r="AH9" s="61">
        <f>Нормы!$B$5*J9</f>
        <v>0</v>
      </c>
      <c r="AI9" s="61">
        <f>Нормы!$B$5*Гибка!X9</f>
        <v>0</v>
      </c>
      <c r="AJ9" s="61">
        <f>Нормы!$B$5*Гибка!V9</f>
        <v>0</v>
      </c>
      <c r="AK9" s="61">
        <f>Нормы!$B$5*Гибка!T9</f>
        <v>0</v>
      </c>
      <c r="AL9" s="61">
        <f>Нормы!$C$4*Гибка!Q9</f>
        <v>0</v>
      </c>
      <c r="AM9" s="61">
        <f>Нормы!$C$6*Гибка!Z9</f>
        <v>0</v>
      </c>
      <c r="AN9" s="61">
        <f>Нормы!$C$5*Гибка!AA9</f>
        <v>0</v>
      </c>
      <c r="AO9" s="212">
        <f>Нормы!$C$5*Гибка!Y9</f>
        <v>0</v>
      </c>
      <c r="AP9" s="215">
        <f>Нормы!$D$4*Гибка!AB9</f>
        <v>0</v>
      </c>
      <c r="AQ9" s="214">
        <f>Нормы!$B$5*Гибка!AC9</f>
        <v>0</v>
      </c>
    </row>
    <row r="10" spans="1:43" s="162" customFormat="1" ht="21" customHeight="1">
      <c r="B10" s="319"/>
      <c r="C10" s="302"/>
      <c r="D10" s="303"/>
      <c r="E10" s="231">
        <f t="shared" si="0"/>
        <v>4</v>
      </c>
      <c r="F10" s="232">
        <f>'Исх данные'!A12</f>
        <v>0</v>
      </c>
      <c r="G10" s="232">
        <f ca="1">Гибка!F:AA</f>
        <v>0</v>
      </c>
      <c r="H10" s="232">
        <f>'Исх данные'!B12</f>
        <v>0</v>
      </c>
      <c r="I10" s="233">
        <f>'Исх данные'!G12</f>
        <v>0</v>
      </c>
      <c r="J10" s="233">
        <f>TRUMPF!K10</f>
        <v>0</v>
      </c>
      <c r="K10" s="234">
        <f>'Исх данные'!H12</f>
        <v>0</v>
      </c>
      <c r="L10" s="234"/>
      <c r="M10" s="234">
        <f>TRUMPF!N10</f>
        <v>0</v>
      </c>
      <c r="N10" s="234">
        <f>'Исх данные'!R12</f>
        <v>0</v>
      </c>
      <c r="O10" s="234">
        <f>TRUMPF!P10</f>
        <v>0</v>
      </c>
      <c r="P10" s="234">
        <f>TRUMPF!Q10</f>
        <v>-6</v>
      </c>
      <c r="Q10" s="234">
        <f>TRUMPF!R10</f>
        <v>0</v>
      </c>
      <c r="R10" s="234">
        <f>'Исх данные'!R12</f>
        <v>0</v>
      </c>
      <c r="S10" s="234">
        <f>TRUMPF!T10</f>
        <v>0</v>
      </c>
      <c r="T10" s="234">
        <f>TRUMPF!U10</f>
        <v>0</v>
      </c>
      <c r="U10" s="234">
        <f>TRUMPF!V10</f>
        <v>0</v>
      </c>
      <c r="V10" s="234">
        <f>TRUMPF!W10</f>
        <v>0</v>
      </c>
      <c r="W10" s="234">
        <f>TRUMPF!X10</f>
        <v>0</v>
      </c>
      <c r="X10" s="234">
        <f>TRUMPF!Y10</f>
        <v>0</v>
      </c>
      <c r="Y10" s="233">
        <f>TRUMPF!Z10</f>
        <v>0</v>
      </c>
      <c r="Z10" s="233">
        <f>TRUMPF!AA10</f>
        <v>0</v>
      </c>
      <c r="AA10" s="233">
        <f>'хол корп'!J12</f>
        <v>0</v>
      </c>
      <c r="AB10" s="235">
        <f>TRUMPF!AD10</f>
        <v>0</v>
      </c>
      <c r="AC10" s="236">
        <f>TRUMPF!AE10</f>
        <v>0</v>
      </c>
      <c r="AF10"/>
      <c r="AG10" s="61">
        <f>Нормы!$E$5*M10</f>
        <v>0</v>
      </c>
      <c r="AH10" s="61">
        <f>Нормы!$B$5*J10</f>
        <v>0</v>
      </c>
      <c r="AI10" s="61">
        <f>Нормы!$B$5*Гибка!X10</f>
        <v>0</v>
      </c>
      <c r="AJ10" s="61">
        <f>Нормы!$B$5*Гибка!V10</f>
        <v>0</v>
      </c>
      <c r="AK10" s="61">
        <f>Нормы!$B$5*Гибка!T10</f>
        <v>0</v>
      </c>
      <c r="AL10" s="61">
        <f>Нормы!$C$4*Гибка!Q10</f>
        <v>0</v>
      </c>
      <c r="AM10" s="61">
        <f>Нормы!$C$6*Гибка!Z10</f>
        <v>0</v>
      </c>
      <c r="AN10" s="61">
        <f>Нормы!$C$5*Гибка!AA10</f>
        <v>0</v>
      </c>
      <c r="AO10" s="212">
        <f>Нормы!$C$5*Гибка!Y10</f>
        <v>0</v>
      </c>
      <c r="AP10" s="215">
        <f>Нормы!$D$4*Гибка!AB10</f>
        <v>0</v>
      </c>
      <c r="AQ10" s="214">
        <f>Нормы!$B$5*Гибка!AC10</f>
        <v>0</v>
      </c>
    </row>
    <row r="11" spans="1:43" s="162" customFormat="1" ht="15.75">
      <c r="B11" s="319"/>
      <c r="C11" s="302"/>
      <c r="D11" s="303"/>
      <c r="E11" s="231">
        <f t="shared" si="0"/>
        <v>5</v>
      </c>
      <c r="F11" s="232">
        <f>'Исх данные'!A13</f>
        <v>0</v>
      </c>
      <c r="G11" s="232">
        <f ca="1">Гибка!F:AA</f>
        <v>0</v>
      </c>
      <c r="H11" s="232">
        <f>'Исх данные'!B13</f>
        <v>0</v>
      </c>
      <c r="I11" s="233">
        <f>'Исх данные'!G13</f>
        <v>0</v>
      </c>
      <c r="J11" s="233">
        <f>TRUMPF!K11</f>
        <v>0</v>
      </c>
      <c r="K11" s="234">
        <f>'Исх данные'!H13</f>
        <v>0</v>
      </c>
      <c r="L11" s="234"/>
      <c r="M11" s="234">
        <f>TRUMPF!N11</f>
        <v>0</v>
      </c>
      <c r="N11" s="234">
        <f>'Исх данные'!R13</f>
        <v>0</v>
      </c>
      <c r="O11" s="234">
        <f>TRUMPF!P11</f>
        <v>0</v>
      </c>
      <c r="P11" s="234">
        <f>TRUMPF!Q11</f>
        <v>-6</v>
      </c>
      <c r="Q11" s="234">
        <f>TRUMPF!R11</f>
        <v>0</v>
      </c>
      <c r="R11" s="234">
        <f>'Исх данные'!R13</f>
        <v>0</v>
      </c>
      <c r="S11" s="234">
        <f>TRUMPF!T11</f>
        <v>0</v>
      </c>
      <c r="T11" s="234">
        <f>TRUMPF!U11</f>
        <v>0</v>
      </c>
      <c r="U11" s="234">
        <f>TRUMPF!V11</f>
        <v>0</v>
      </c>
      <c r="V11" s="234">
        <f>TRUMPF!W11</f>
        <v>0</v>
      </c>
      <c r="W11" s="234">
        <f>TRUMPF!X11</f>
        <v>0</v>
      </c>
      <c r="X11" s="234">
        <f>TRUMPF!Y11</f>
        <v>0</v>
      </c>
      <c r="Y11" s="233">
        <f>TRUMPF!Z11</f>
        <v>0</v>
      </c>
      <c r="Z11" s="233">
        <f>TRUMPF!AA11</f>
        <v>0</v>
      </c>
      <c r="AA11" s="233">
        <f>'хол корп'!J13</f>
        <v>0</v>
      </c>
      <c r="AB11" s="235">
        <f>TRUMPF!AD11</f>
        <v>0</v>
      </c>
      <c r="AC11" s="236">
        <f>TRUMPF!AE11</f>
        <v>0</v>
      </c>
      <c r="AF11"/>
      <c r="AG11" s="61">
        <f>Нормы!$E$5*M11</f>
        <v>0</v>
      </c>
      <c r="AH11" s="61">
        <f>Нормы!$B$5*J11</f>
        <v>0</v>
      </c>
      <c r="AI11" s="61">
        <f>Нормы!$B$5*Гибка!X11</f>
        <v>0</v>
      </c>
      <c r="AJ11" s="61">
        <f>Нормы!$B$5*Гибка!V11</f>
        <v>0</v>
      </c>
      <c r="AK11" s="61">
        <f>Нормы!$B$5*Гибка!T11</f>
        <v>0</v>
      </c>
      <c r="AL11" s="61">
        <f>Нормы!$C$4*Гибка!Q11</f>
        <v>0</v>
      </c>
      <c r="AM11" s="61">
        <f>Нормы!$C$6*Гибка!Z11</f>
        <v>0</v>
      </c>
      <c r="AN11" s="61">
        <f>Нормы!$C$5*Гибка!AA11</f>
        <v>0</v>
      </c>
      <c r="AO11" s="212">
        <f>Нормы!$C$5*Гибка!Y11</f>
        <v>0</v>
      </c>
      <c r="AP11" s="215">
        <f>Нормы!$D$4*Гибка!AB11</f>
        <v>0</v>
      </c>
      <c r="AQ11" s="214">
        <f>Нормы!$B$5*Гибка!AC11</f>
        <v>0</v>
      </c>
    </row>
    <row r="12" spans="1:43" s="162" customFormat="1" ht="15.75">
      <c r="B12" s="319"/>
      <c r="C12" s="302"/>
      <c r="D12" s="303"/>
      <c r="E12" s="231">
        <f t="shared" si="0"/>
        <v>6</v>
      </c>
      <c r="F12" s="232">
        <f>'Исх данные'!A14</f>
        <v>0</v>
      </c>
      <c r="G12" s="232">
        <f ca="1">Гибка!F:AA</f>
        <v>0</v>
      </c>
      <c r="H12" s="232">
        <f>'Исх данные'!B14</f>
        <v>0</v>
      </c>
      <c r="I12" s="233">
        <f>'Исх данные'!G14</f>
        <v>0</v>
      </c>
      <c r="J12" s="233">
        <f>TRUMPF!K12</f>
        <v>0</v>
      </c>
      <c r="K12" s="234">
        <f>'Исх данные'!H14</f>
        <v>0</v>
      </c>
      <c r="L12" s="234"/>
      <c r="M12" s="234">
        <f>TRUMPF!N12</f>
        <v>0</v>
      </c>
      <c r="N12" s="234">
        <f>'Исх данные'!R14</f>
        <v>0</v>
      </c>
      <c r="O12" s="234">
        <f>TRUMPF!P12</f>
        <v>0</v>
      </c>
      <c r="P12" s="234">
        <f>TRUMPF!Q12</f>
        <v>-6</v>
      </c>
      <c r="Q12" s="234">
        <f>TRUMPF!R12</f>
        <v>0</v>
      </c>
      <c r="R12" s="234">
        <f>'Исх данные'!R14</f>
        <v>0</v>
      </c>
      <c r="S12" s="234">
        <f>TRUMPF!T12</f>
        <v>0</v>
      </c>
      <c r="T12" s="234">
        <f>TRUMPF!U12</f>
        <v>0</v>
      </c>
      <c r="U12" s="234">
        <f>TRUMPF!V12</f>
        <v>0</v>
      </c>
      <c r="V12" s="234">
        <f>TRUMPF!W12</f>
        <v>0</v>
      </c>
      <c r="W12" s="234">
        <f>TRUMPF!X12</f>
        <v>0</v>
      </c>
      <c r="X12" s="234">
        <f>TRUMPF!Y12</f>
        <v>0</v>
      </c>
      <c r="Y12" s="233">
        <f>TRUMPF!Z12</f>
        <v>0</v>
      </c>
      <c r="Z12" s="233">
        <f>TRUMPF!AA12</f>
        <v>0</v>
      </c>
      <c r="AA12" s="233">
        <f>'хол корп'!J14</f>
        <v>0</v>
      </c>
      <c r="AB12" s="235">
        <f>TRUMPF!AD12</f>
        <v>0</v>
      </c>
      <c r="AC12" s="236">
        <f>TRUMPF!AE12</f>
        <v>0</v>
      </c>
      <c r="AF12"/>
      <c r="AG12" s="61">
        <f>Нормы!$E$5*M12</f>
        <v>0</v>
      </c>
      <c r="AH12" s="61">
        <f>Нормы!$B$5*J12</f>
        <v>0</v>
      </c>
      <c r="AI12" s="61">
        <f>Нормы!$B$5*Гибка!X12</f>
        <v>0</v>
      </c>
      <c r="AJ12" s="61">
        <f>Нормы!$B$5*Гибка!V12</f>
        <v>0</v>
      </c>
      <c r="AK12" s="61">
        <f>Нормы!$B$5*Гибка!T12</f>
        <v>0</v>
      </c>
      <c r="AL12" s="61">
        <f>Нормы!$C$4*Гибка!Q12</f>
        <v>0</v>
      </c>
      <c r="AM12" s="61">
        <f>Нормы!$C$6*Гибка!Z12</f>
        <v>0</v>
      </c>
      <c r="AN12" s="61">
        <f>Нормы!$C$5*Гибка!AA12</f>
        <v>0</v>
      </c>
      <c r="AO12" s="212">
        <f>Нормы!$C$5*Гибка!Y12</f>
        <v>0</v>
      </c>
      <c r="AP12" s="215">
        <f>Нормы!$D$4*Гибка!AB12</f>
        <v>0</v>
      </c>
      <c r="AQ12" s="214">
        <f>Нормы!$B$5*Гибка!AC12</f>
        <v>0</v>
      </c>
    </row>
    <row r="13" spans="1:43" s="162" customFormat="1" ht="15.75">
      <c r="B13" s="319"/>
      <c r="C13" s="302"/>
      <c r="D13" s="303"/>
      <c r="E13" s="231">
        <f t="shared" si="0"/>
        <v>7</v>
      </c>
      <c r="F13" s="232">
        <f>'Исх данные'!A15</f>
        <v>0</v>
      </c>
      <c r="G13" s="232">
        <f ca="1">Гибка!F:AA</f>
        <v>0</v>
      </c>
      <c r="H13" s="232">
        <f>'Исх данные'!B15</f>
        <v>0</v>
      </c>
      <c r="I13" s="233">
        <f>'Исх данные'!G15</f>
        <v>0</v>
      </c>
      <c r="J13" s="233">
        <f>TRUMPF!K13</f>
        <v>0</v>
      </c>
      <c r="K13" s="234">
        <f>'Исх данные'!H15</f>
        <v>0</v>
      </c>
      <c r="L13" s="234"/>
      <c r="M13" s="234">
        <f>TRUMPF!N13</f>
        <v>0</v>
      </c>
      <c r="N13" s="234">
        <f>'Исх данные'!R15</f>
        <v>0</v>
      </c>
      <c r="O13" s="234">
        <f>TRUMPF!P13</f>
        <v>0</v>
      </c>
      <c r="P13" s="234">
        <f>TRUMPF!Q13</f>
        <v>-6</v>
      </c>
      <c r="Q13" s="234">
        <f>TRUMPF!R13</f>
        <v>0</v>
      </c>
      <c r="R13" s="234">
        <f>'Исх данные'!R15</f>
        <v>0</v>
      </c>
      <c r="S13" s="234">
        <f>TRUMPF!T13</f>
        <v>0</v>
      </c>
      <c r="T13" s="234">
        <f>TRUMPF!U13</f>
        <v>0</v>
      </c>
      <c r="U13" s="234">
        <f>TRUMPF!V13</f>
        <v>0</v>
      </c>
      <c r="V13" s="234">
        <f>TRUMPF!W13</f>
        <v>0</v>
      </c>
      <c r="W13" s="234">
        <f>TRUMPF!X13</f>
        <v>0</v>
      </c>
      <c r="X13" s="234">
        <f>TRUMPF!Y13</f>
        <v>0</v>
      </c>
      <c r="Y13" s="233">
        <f>TRUMPF!Z13</f>
        <v>0</v>
      </c>
      <c r="Z13" s="233">
        <f>TRUMPF!AA13</f>
        <v>0</v>
      </c>
      <c r="AA13" s="233">
        <f>'хол корп'!J15</f>
        <v>0</v>
      </c>
      <c r="AB13" s="235">
        <f>TRUMPF!AD13</f>
        <v>0</v>
      </c>
      <c r="AC13" s="236">
        <f>TRUMPF!AE13</f>
        <v>0</v>
      </c>
      <c r="AF13"/>
      <c r="AG13" s="61">
        <f>Нормы!$E$5*M13</f>
        <v>0</v>
      </c>
      <c r="AH13" s="61">
        <f>Нормы!$B$5*J13</f>
        <v>0</v>
      </c>
      <c r="AI13" s="61">
        <f>Нормы!$B$5*Гибка!X13</f>
        <v>0</v>
      </c>
      <c r="AJ13" s="61">
        <f>Нормы!$B$5*Гибка!V13</f>
        <v>0</v>
      </c>
      <c r="AK13" s="61">
        <f>Нормы!$B$5*Гибка!T13</f>
        <v>0</v>
      </c>
      <c r="AL13" s="61">
        <f>Нормы!$C$4*Гибка!Q13</f>
        <v>0</v>
      </c>
      <c r="AM13" s="61">
        <f>Нормы!$C$6*Гибка!Z13</f>
        <v>0</v>
      </c>
      <c r="AN13" s="61">
        <f>Нормы!$C$5*Гибка!AA13</f>
        <v>0</v>
      </c>
      <c r="AO13" s="212">
        <f>Нормы!$C$5*Гибка!Y13</f>
        <v>0</v>
      </c>
      <c r="AP13" s="215">
        <f>Нормы!$D$4*Гибка!AB13</f>
        <v>0</v>
      </c>
      <c r="AQ13" s="214">
        <f>Нормы!$B$5*Гибка!AC13</f>
        <v>0</v>
      </c>
    </row>
    <row r="14" spans="1:43" s="162" customFormat="1" ht="15.75">
      <c r="A14" s="318" t="s">
        <v>168</v>
      </c>
      <c r="B14" s="319"/>
      <c r="C14" s="302"/>
      <c r="D14" s="303"/>
      <c r="E14" s="231">
        <f t="shared" si="0"/>
        <v>8</v>
      </c>
      <c r="F14" s="232">
        <f>'Исх данные'!A16</f>
        <v>0</v>
      </c>
      <c r="G14" s="232">
        <f ca="1">Гибка!F:AA</f>
        <v>0</v>
      </c>
      <c r="H14" s="232">
        <f>'Исх данные'!B16</f>
        <v>0</v>
      </c>
      <c r="I14" s="233">
        <f>'Исх данные'!G16</f>
        <v>0</v>
      </c>
      <c r="J14" s="233">
        <f>TRUMPF!K14</f>
        <v>0</v>
      </c>
      <c r="K14" s="234">
        <f>'Исх данные'!H16</f>
        <v>0</v>
      </c>
      <c r="L14" s="234"/>
      <c r="M14" s="234">
        <f>TRUMPF!N14</f>
        <v>0</v>
      </c>
      <c r="N14" s="234">
        <f>'Исх данные'!R16</f>
        <v>0</v>
      </c>
      <c r="O14" s="234">
        <f>TRUMPF!P14</f>
        <v>0</v>
      </c>
      <c r="P14" s="234">
        <f>TRUMPF!Q14</f>
        <v>-6</v>
      </c>
      <c r="Q14" s="234">
        <f>TRUMPF!R14</f>
        <v>0</v>
      </c>
      <c r="R14" s="234">
        <f>'Исх данные'!R16</f>
        <v>0</v>
      </c>
      <c r="S14" s="234">
        <f>TRUMPF!T14</f>
        <v>0</v>
      </c>
      <c r="T14" s="234">
        <f>TRUMPF!U14</f>
        <v>0</v>
      </c>
      <c r="U14" s="234">
        <f>TRUMPF!V14</f>
        <v>0</v>
      </c>
      <c r="V14" s="234">
        <f>TRUMPF!W14</f>
        <v>0</v>
      </c>
      <c r="W14" s="234">
        <f>TRUMPF!X14</f>
        <v>0</v>
      </c>
      <c r="X14" s="234">
        <f>TRUMPF!Y14</f>
        <v>0</v>
      </c>
      <c r="Y14" s="233">
        <f>TRUMPF!Z14</f>
        <v>0</v>
      </c>
      <c r="Z14" s="233">
        <f>TRUMPF!AA14</f>
        <v>0</v>
      </c>
      <c r="AA14" s="233">
        <f>'хол корп'!J16</f>
        <v>0</v>
      </c>
      <c r="AB14" s="235">
        <f>TRUMPF!AD14</f>
        <v>0</v>
      </c>
      <c r="AC14" s="236">
        <f>TRUMPF!AE14</f>
        <v>0</v>
      </c>
      <c r="AF14"/>
      <c r="AG14" s="61">
        <f>Нормы!$E$5*M14</f>
        <v>0</v>
      </c>
      <c r="AH14" s="61">
        <f>Нормы!$B$5*J14</f>
        <v>0</v>
      </c>
      <c r="AI14" s="61">
        <f>Нормы!$B$5*Гибка!X14</f>
        <v>0</v>
      </c>
      <c r="AJ14" s="61">
        <f>Нормы!$B$5*Гибка!V14</f>
        <v>0</v>
      </c>
      <c r="AK14" s="61">
        <f>Нормы!$B$5*Гибка!T14</f>
        <v>0</v>
      </c>
      <c r="AL14" s="61">
        <f>Нормы!$C$4*Гибка!Q14</f>
        <v>0</v>
      </c>
      <c r="AM14" s="61">
        <f>Нормы!$C$6*Гибка!Z14</f>
        <v>0</v>
      </c>
      <c r="AN14" s="61">
        <f>Нормы!$C$5*Гибка!AA14</f>
        <v>0</v>
      </c>
      <c r="AO14" s="212">
        <f>Нормы!$C$5*Гибка!Y14</f>
        <v>0</v>
      </c>
      <c r="AP14" s="215">
        <f>Нормы!$D$4*Гибка!AB14</f>
        <v>0</v>
      </c>
      <c r="AQ14" s="214">
        <f>Нормы!$B$5*Гибка!AC14</f>
        <v>0</v>
      </c>
    </row>
    <row r="15" spans="1:43" s="162" customFormat="1" ht="15.75">
      <c r="A15" s="318"/>
      <c r="B15" s="319"/>
      <c r="C15" s="302"/>
      <c r="D15" s="303"/>
      <c r="E15" s="231">
        <f t="shared" si="0"/>
        <v>9</v>
      </c>
      <c r="F15" s="232">
        <f>'Исх данные'!A17</f>
        <v>0</v>
      </c>
      <c r="G15" s="232">
        <f ca="1">Гибка!F:AA</f>
        <v>0</v>
      </c>
      <c r="H15" s="232">
        <f>'Исх данные'!B17</f>
        <v>0</v>
      </c>
      <c r="I15" s="233">
        <f>'Исх данные'!G17</f>
        <v>0</v>
      </c>
      <c r="J15" s="233">
        <f>TRUMPF!K15</f>
        <v>0</v>
      </c>
      <c r="K15" s="234">
        <f>'Исх данные'!H17</f>
        <v>0</v>
      </c>
      <c r="L15" s="234"/>
      <c r="M15" s="234">
        <f>TRUMPF!N15</f>
        <v>0</v>
      </c>
      <c r="N15" s="234">
        <f>'Исх данные'!R17</f>
        <v>0</v>
      </c>
      <c r="O15" s="234">
        <f>TRUMPF!P15</f>
        <v>0</v>
      </c>
      <c r="P15" s="234">
        <f>TRUMPF!Q15</f>
        <v>-6</v>
      </c>
      <c r="Q15" s="234">
        <f>TRUMPF!R15</f>
        <v>0</v>
      </c>
      <c r="R15" s="234">
        <f>'Исх данные'!R17</f>
        <v>0</v>
      </c>
      <c r="S15" s="234">
        <f>TRUMPF!T15</f>
        <v>0</v>
      </c>
      <c r="T15" s="234">
        <f>TRUMPF!U15</f>
        <v>0</v>
      </c>
      <c r="U15" s="234">
        <f>TRUMPF!V15</f>
        <v>0</v>
      </c>
      <c r="V15" s="234">
        <f>TRUMPF!W15</f>
        <v>0</v>
      </c>
      <c r="W15" s="234">
        <f>TRUMPF!X15</f>
        <v>0</v>
      </c>
      <c r="X15" s="234">
        <f>TRUMPF!Y15</f>
        <v>0</v>
      </c>
      <c r="Y15" s="233">
        <f>TRUMPF!Z15</f>
        <v>0</v>
      </c>
      <c r="Z15" s="233">
        <f>TRUMPF!AA15</f>
        <v>0</v>
      </c>
      <c r="AA15" s="233">
        <f>'хол корп'!J17</f>
        <v>0</v>
      </c>
      <c r="AB15" s="235">
        <f>TRUMPF!AD15</f>
        <v>0</v>
      </c>
      <c r="AC15" s="236">
        <f>TRUMPF!AE15</f>
        <v>0</v>
      </c>
      <c r="AF15"/>
      <c r="AG15" s="61">
        <f>Нормы!$E$5*M15</f>
        <v>0</v>
      </c>
      <c r="AH15" s="61">
        <f>Нормы!$B$5*J15</f>
        <v>0</v>
      </c>
      <c r="AI15" s="61">
        <f>Нормы!$B$5*Гибка!X15</f>
        <v>0</v>
      </c>
      <c r="AJ15" s="61">
        <f>Нормы!$B$5*Гибка!V15</f>
        <v>0</v>
      </c>
      <c r="AK15" s="61">
        <f>Нормы!$B$5*Гибка!T15</f>
        <v>0</v>
      </c>
      <c r="AL15" s="61">
        <f>Нормы!$C$4*Гибка!Q15</f>
        <v>0</v>
      </c>
      <c r="AM15" s="61">
        <f>Нормы!$C$6*Гибка!Z15</f>
        <v>0</v>
      </c>
      <c r="AN15" s="61">
        <f>Нормы!$C$5*Гибка!AA15</f>
        <v>0</v>
      </c>
      <c r="AO15" s="212">
        <f>Нормы!$C$5*Гибка!Y15</f>
        <v>0</v>
      </c>
      <c r="AP15" s="215">
        <f>Нормы!$D$4*Гибка!AB15</f>
        <v>0</v>
      </c>
      <c r="AQ15" s="214">
        <f>Нормы!$B$5*Гибка!AC15</f>
        <v>0</v>
      </c>
    </row>
    <row r="16" spans="1:43" s="162" customFormat="1" ht="15.75">
      <c r="A16" s="318"/>
      <c r="B16" s="319"/>
      <c r="C16" s="302"/>
      <c r="D16" s="303"/>
      <c r="E16" s="231">
        <f t="shared" si="0"/>
        <v>10</v>
      </c>
      <c r="F16" s="232">
        <f>'Исх данные'!A18</f>
        <v>0</v>
      </c>
      <c r="G16" s="232">
        <f ca="1">Гибка!F:AA</f>
        <v>0</v>
      </c>
      <c r="H16" s="232">
        <f>'Исх данные'!B18</f>
        <v>0</v>
      </c>
      <c r="I16" s="233">
        <f>'Исх данные'!G18</f>
        <v>0</v>
      </c>
      <c r="J16" s="233">
        <f>TRUMPF!K16</f>
        <v>0</v>
      </c>
      <c r="K16" s="234">
        <f>'Исх данные'!H18</f>
        <v>0</v>
      </c>
      <c r="L16" s="234"/>
      <c r="M16" s="234">
        <f>TRUMPF!N16</f>
        <v>0</v>
      </c>
      <c r="N16" s="234">
        <f>'Исх данные'!R18</f>
        <v>0</v>
      </c>
      <c r="O16" s="234">
        <f>TRUMPF!P16</f>
        <v>0</v>
      </c>
      <c r="P16" s="234">
        <f>TRUMPF!Q16</f>
        <v>-6</v>
      </c>
      <c r="Q16" s="234">
        <f>TRUMPF!R16</f>
        <v>0</v>
      </c>
      <c r="R16" s="234">
        <f>'Исх данные'!R18</f>
        <v>0</v>
      </c>
      <c r="S16" s="234">
        <f>TRUMPF!T16</f>
        <v>0</v>
      </c>
      <c r="T16" s="234">
        <f>TRUMPF!U16</f>
        <v>0</v>
      </c>
      <c r="U16" s="234">
        <f>TRUMPF!V16</f>
        <v>0</v>
      </c>
      <c r="V16" s="234">
        <f>TRUMPF!W16</f>
        <v>0</v>
      </c>
      <c r="W16" s="234">
        <f>TRUMPF!X16</f>
        <v>0</v>
      </c>
      <c r="X16" s="234">
        <f>TRUMPF!Y16</f>
        <v>0</v>
      </c>
      <c r="Y16" s="233">
        <f>TRUMPF!Z16</f>
        <v>0</v>
      </c>
      <c r="Z16" s="233">
        <f>TRUMPF!AA16</f>
        <v>0</v>
      </c>
      <c r="AA16" s="233">
        <f>'хол корп'!J18</f>
        <v>0</v>
      </c>
      <c r="AB16" s="235">
        <f>TRUMPF!AD16</f>
        <v>0</v>
      </c>
      <c r="AC16" s="236">
        <f>TRUMPF!AE16</f>
        <v>0</v>
      </c>
      <c r="AF16"/>
      <c r="AG16" s="61">
        <f>Нормы!$E$5*M16</f>
        <v>0</v>
      </c>
      <c r="AH16" s="61">
        <f>Нормы!$B$5*J16</f>
        <v>0</v>
      </c>
      <c r="AI16" s="61">
        <f>Нормы!$B$5*Гибка!X16</f>
        <v>0</v>
      </c>
      <c r="AJ16" s="61">
        <f>Нормы!$B$5*Гибка!V16</f>
        <v>0</v>
      </c>
      <c r="AK16" s="61">
        <f>Нормы!$B$5*Гибка!T16</f>
        <v>0</v>
      </c>
      <c r="AL16" s="61">
        <f>Нормы!$C$4*Гибка!Q16</f>
        <v>0</v>
      </c>
      <c r="AM16" s="61">
        <f>Нормы!$C$6*Гибка!Z16</f>
        <v>0</v>
      </c>
      <c r="AN16" s="61">
        <f>Нормы!$C$5*Гибка!AA16</f>
        <v>0</v>
      </c>
      <c r="AO16" s="212">
        <f>Нормы!$C$5*Гибка!Y16</f>
        <v>0</v>
      </c>
      <c r="AP16" s="215">
        <f>Нормы!$D$4*Гибка!AB16</f>
        <v>0</v>
      </c>
      <c r="AQ16" s="214">
        <f>Нормы!$B$5*Гибка!AC16</f>
        <v>0</v>
      </c>
    </row>
    <row r="17" spans="1:43" s="162" customFormat="1" ht="16.5" customHeight="1">
      <c r="A17" s="318"/>
      <c r="B17" s="319"/>
      <c r="C17" s="302"/>
      <c r="D17" s="303"/>
      <c r="E17" s="231">
        <f t="shared" si="0"/>
        <v>11</v>
      </c>
      <c r="F17" s="232">
        <f>'Исх данные'!A19</f>
        <v>0</v>
      </c>
      <c r="G17" s="232">
        <f ca="1">Гибка!F:AA</f>
        <v>0</v>
      </c>
      <c r="H17" s="232">
        <f>'Исх данные'!B19</f>
        <v>0</v>
      </c>
      <c r="I17" s="233">
        <f>'Исх данные'!G19</f>
        <v>0</v>
      </c>
      <c r="J17" s="233">
        <f>TRUMPF!K17</f>
        <v>0</v>
      </c>
      <c r="K17" s="234">
        <f>'Исх данные'!H19</f>
        <v>0</v>
      </c>
      <c r="L17" s="234"/>
      <c r="M17" s="234">
        <f>TRUMPF!N17</f>
        <v>0</v>
      </c>
      <c r="N17" s="234">
        <f>'Исх данные'!R19</f>
        <v>0</v>
      </c>
      <c r="O17" s="234">
        <f>TRUMPF!P17</f>
        <v>0</v>
      </c>
      <c r="P17" s="234">
        <f>TRUMPF!Q17</f>
        <v>-6</v>
      </c>
      <c r="Q17" s="234">
        <f>TRUMPF!R17</f>
        <v>0</v>
      </c>
      <c r="R17" s="234">
        <f>'Исх данные'!R19</f>
        <v>0</v>
      </c>
      <c r="S17" s="234">
        <f>TRUMPF!T17</f>
        <v>0</v>
      </c>
      <c r="T17" s="234">
        <f>TRUMPF!U17</f>
        <v>0</v>
      </c>
      <c r="U17" s="234">
        <f>TRUMPF!V17</f>
        <v>0</v>
      </c>
      <c r="V17" s="234">
        <f>TRUMPF!W17</f>
        <v>0</v>
      </c>
      <c r="W17" s="234">
        <f>TRUMPF!X17</f>
        <v>0</v>
      </c>
      <c r="X17" s="234">
        <f>TRUMPF!Y17</f>
        <v>0</v>
      </c>
      <c r="Y17" s="233">
        <f>TRUMPF!Z17</f>
        <v>0</v>
      </c>
      <c r="Z17" s="233">
        <f>TRUMPF!AA17</f>
        <v>0</v>
      </c>
      <c r="AA17" s="233">
        <f>'хол корп'!J19</f>
        <v>0</v>
      </c>
      <c r="AB17" s="235">
        <f>TRUMPF!AD17</f>
        <v>0</v>
      </c>
      <c r="AC17" s="236">
        <f>TRUMPF!AE17</f>
        <v>0</v>
      </c>
      <c r="AF17"/>
      <c r="AG17" s="61">
        <f>Нормы!$E$5*M17</f>
        <v>0</v>
      </c>
      <c r="AH17" s="61">
        <f>Нормы!$B$5*J17</f>
        <v>0</v>
      </c>
      <c r="AI17" s="61">
        <f>Нормы!$B$5*Гибка!X17</f>
        <v>0</v>
      </c>
      <c r="AJ17" s="61">
        <f>Нормы!$B$5*Гибка!V17</f>
        <v>0</v>
      </c>
      <c r="AK17" s="61">
        <f>Нормы!$B$5*Гибка!T17</f>
        <v>0</v>
      </c>
      <c r="AL17" s="61">
        <f>Нормы!$C$4*Гибка!Q17</f>
        <v>0</v>
      </c>
      <c r="AM17" s="61">
        <f>Нормы!$C$6*Гибка!Z17</f>
        <v>0</v>
      </c>
      <c r="AN17" s="61">
        <f>Нормы!$C$5*Гибка!AA17</f>
        <v>0</v>
      </c>
      <c r="AO17" s="212">
        <f>Нормы!$C$5*Гибка!Y17</f>
        <v>0</v>
      </c>
      <c r="AP17" s="215">
        <f>Нормы!$D$4*Гибка!AB17</f>
        <v>0</v>
      </c>
      <c r="AQ17" s="214">
        <f>Нормы!$B$5*Гибка!AC17</f>
        <v>0</v>
      </c>
    </row>
    <row r="18" spans="1:43" s="162" customFormat="1" ht="15.75">
      <c r="A18" s="318"/>
      <c r="B18" s="319"/>
      <c r="C18" s="302"/>
      <c r="D18" s="303"/>
      <c r="E18" s="231">
        <f t="shared" si="0"/>
        <v>12</v>
      </c>
      <c r="F18" s="232">
        <f>'Исх данные'!A20</f>
        <v>0</v>
      </c>
      <c r="G18" s="232">
        <f ca="1">Гибка!F:AA</f>
        <v>0</v>
      </c>
      <c r="H18" s="232">
        <f>'Исх данные'!B20</f>
        <v>0</v>
      </c>
      <c r="I18" s="233">
        <f>'Исх данные'!G20</f>
        <v>0</v>
      </c>
      <c r="J18" s="233">
        <f>TRUMPF!K18</f>
        <v>0</v>
      </c>
      <c r="K18" s="234">
        <f>'Исх данные'!H20</f>
        <v>0</v>
      </c>
      <c r="L18" s="234"/>
      <c r="M18" s="234">
        <f>TRUMPF!N18</f>
        <v>0</v>
      </c>
      <c r="N18" s="234">
        <f>'Исх данные'!R20</f>
        <v>0</v>
      </c>
      <c r="O18" s="234">
        <f>TRUMPF!P18</f>
        <v>0</v>
      </c>
      <c r="P18" s="234">
        <f>TRUMPF!Q18</f>
        <v>-6</v>
      </c>
      <c r="Q18" s="234">
        <f>TRUMPF!R18</f>
        <v>0</v>
      </c>
      <c r="R18" s="234">
        <f>'Исх данные'!R20</f>
        <v>0</v>
      </c>
      <c r="S18" s="234">
        <f>TRUMPF!T18</f>
        <v>0</v>
      </c>
      <c r="T18" s="234">
        <f>TRUMPF!U18</f>
        <v>0</v>
      </c>
      <c r="U18" s="234">
        <f>TRUMPF!V18</f>
        <v>0</v>
      </c>
      <c r="V18" s="234">
        <f>TRUMPF!W18</f>
        <v>0</v>
      </c>
      <c r="W18" s="234">
        <f>TRUMPF!X18</f>
        <v>0</v>
      </c>
      <c r="X18" s="234">
        <f>TRUMPF!Y18</f>
        <v>0</v>
      </c>
      <c r="Y18" s="233">
        <f>TRUMPF!Z18</f>
        <v>0</v>
      </c>
      <c r="Z18" s="233">
        <f>TRUMPF!AA18</f>
        <v>0</v>
      </c>
      <c r="AA18" s="233">
        <f>'хол корп'!J20</f>
        <v>0</v>
      </c>
      <c r="AB18" s="235">
        <f>TRUMPF!AD18</f>
        <v>0</v>
      </c>
      <c r="AC18" s="236">
        <f>TRUMPF!AE18</f>
        <v>0</v>
      </c>
      <c r="AF18"/>
      <c r="AG18" s="61">
        <f>Нормы!$E$5*M18</f>
        <v>0</v>
      </c>
      <c r="AH18" s="61">
        <f>Нормы!$B$5*J18</f>
        <v>0</v>
      </c>
      <c r="AI18" s="61">
        <f>Нормы!$B$5*Гибка!X18</f>
        <v>0</v>
      </c>
      <c r="AJ18" s="61">
        <f>Нормы!$B$5*Гибка!V18</f>
        <v>0</v>
      </c>
      <c r="AK18" s="61">
        <f>Нормы!$B$5*Гибка!T18</f>
        <v>0</v>
      </c>
      <c r="AL18" s="61">
        <f>Нормы!$C$4*Гибка!Q18</f>
        <v>0</v>
      </c>
      <c r="AM18" s="61">
        <f>Нормы!$C$6*Гибка!Z18</f>
        <v>0</v>
      </c>
      <c r="AN18" s="61">
        <f>Нормы!$C$5*Гибка!AA18</f>
        <v>0</v>
      </c>
      <c r="AO18" s="212">
        <f>Нормы!$C$5*Гибка!Y18</f>
        <v>0</v>
      </c>
      <c r="AP18" s="215">
        <f>Нормы!$D$4*Гибка!AB18</f>
        <v>0</v>
      </c>
      <c r="AQ18" s="214">
        <f>Нормы!$B$5*Гибка!AC18</f>
        <v>0</v>
      </c>
    </row>
    <row r="19" spans="1:43" s="162" customFormat="1" ht="15.75">
      <c r="A19" s="318"/>
      <c r="B19" s="319"/>
      <c r="C19" s="302"/>
      <c r="D19" s="303"/>
      <c r="E19" s="231">
        <f t="shared" si="0"/>
        <v>13</v>
      </c>
      <c r="F19" s="232">
        <f>'Исх данные'!A21</f>
        <v>0</v>
      </c>
      <c r="G19" s="232">
        <f ca="1">Гибка!F:AA</f>
        <v>0</v>
      </c>
      <c r="H19" s="232">
        <f>'Исх данные'!B21</f>
        <v>0</v>
      </c>
      <c r="I19" s="233">
        <f>'Исх данные'!G21</f>
        <v>0</v>
      </c>
      <c r="J19" s="233">
        <f>TRUMPF!K19</f>
        <v>0</v>
      </c>
      <c r="K19" s="234">
        <f>'Исх данные'!H21</f>
        <v>0</v>
      </c>
      <c r="L19" s="234"/>
      <c r="M19" s="234">
        <f>TRUMPF!N19</f>
        <v>0</v>
      </c>
      <c r="N19" s="234">
        <f>'Исх данные'!R21</f>
        <v>0</v>
      </c>
      <c r="O19" s="234">
        <f>TRUMPF!P19</f>
        <v>0</v>
      </c>
      <c r="P19" s="234">
        <f>TRUMPF!Q19</f>
        <v>-6</v>
      </c>
      <c r="Q19" s="234">
        <f>TRUMPF!R19</f>
        <v>0</v>
      </c>
      <c r="R19" s="234">
        <f>'Исх данные'!R21</f>
        <v>0</v>
      </c>
      <c r="S19" s="234">
        <f>TRUMPF!T19</f>
        <v>0</v>
      </c>
      <c r="T19" s="234">
        <f>TRUMPF!U19</f>
        <v>0</v>
      </c>
      <c r="U19" s="234">
        <f>TRUMPF!V19</f>
        <v>0</v>
      </c>
      <c r="V19" s="234">
        <f>TRUMPF!W19</f>
        <v>0</v>
      </c>
      <c r="W19" s="234">
        <f>TRUMPF!X19</f>
        <v>0</v>
      </c>
      <c r="X19" s="234">
        <f>TRUMPF!Y19</f>
        <v>0</v>
      </c>
      <c r="Y19" s="233">
        <f>TRUMPF!Z19</f>
        <v>0</v>
      </c>
      <c r="Z19" s="233">
        <f>TRUMPF!AA19</f>
        <v>0</v>
      </c>
      <c r="AA19" s="233">
        <f>'хол корп'!J21</f>
        <v>0</v>
      </c>
      <c r="AB19" s="235">
        <f>TRUMPF!AD19</f>
        <v>0</v>
      </c>
      <c r="AC19" s="236">
        <f>TRUMPF!AE19</f>
        <v>0</v>
      </c>
      <c r="AF19"/>
      <c r="AG19" s="61">
        <f>Нормы!$E$5*M19</f>
        <v>0</v>
      </c>
      <c r="AH19" s="61">
        <f>Нормы!$B$5*J19</f>
        <v>0</v>
      </c>
      <c r="AI19" s="61">
        <f>Нормы!$B$5*Гибка!X19</f>
        <v>0</v>
      </c>
      <c r="AJ19" s="61">
        <f>Нормы!$B$5*Гибка!V19</f>
        <v>0</v>
      </c>
      <c r="AK19" s="61">
        <f>Нормы!$B$5*Гибка!T19</f>
        <v>0</v>
      </c>
      <c r="AL19" s="61">
        <f>Нормы!$C$4*Гибка!Q19</f>
        <v>0</v>
      </c>
      <c r="AM19" s="61">
        <f>Нормы!$C$6*Гибка!Z19</f>
        <v>0</v>
      </c>
      <c r="AN19" s="61">
        <f>Нормы!$C$5*Гибка!AA19</f>
        <v>0</v>
      </c>
      <c r="AO19" s="212">
        <f>Нормы!$C$5*Гибка!Y19</f>
        <v>0</v>
      </c>
      <c r="AP19" s="215">
        <f>Нормы!$D$4*Гибка!AB19</f>
        <v>0</v>
      </c>
      <c r="AQ19" s="214">
        <f>Нормы!$B$5*Гибка!AC19</f>
        <v>0</v>
      </c>
    </row>
    <row r="20" spans="1:43" s="162" customFormat="1" ht="15.75">
      <c r="A20" s="318"/>
      <c r="B20" s="319"/>
      <c r="C20" s="302"/>
      <c r="D20" s="303"/>
      <c r="E20" s="231">
        <f t="shared" si="0"/>
        <v>14</v>
      </c>
      <c r="F20" s="232">
        <f>'Исх данные'!A22</f>
        <v>0</v>
      </c>
      <c r="G20" s="232">
        <f ca="1">Гибка!F:AA</f>
        <v>0</v>
      </c>
      <c r="H20" s="232">
        <f>'Исх данные'!B22</f>
        <v>0</v>
      </c>
      <c r="I20" s="233">
        <f>'Исх данные'!G22</f>
        <v>0</v>
      </c>
      <c r="J20" s="233">
        <f>TRUMPF!K20</f>
        <v>0</v>
      </c>
      <c r="K20" s="234">
        <f>'Исх данные'!H22</f>
        <v>0</v>
      </c>
      <c r="L20" s="234"/>
      <c r="M20" s="234">
        <f>TRUMPF!N20</f>
        <v>0</v>
      </c>
      <c r="N20" s="234">
        <f>'Исх данные'!R22</f>
        <v>0</v>
      </c>
      <c r="O20" s="234">
        <f>TRUMPF!P20</f>
        <v>0</v>
      </c>
      <c r="P20" s="234">
        <f>TRUMPF!Q20</f>
        <v>-6</v>
      </c>
      <c r="Q20" s="234">
        <f>TRUMPF!R20</f>
        <v>0</v>
      </c>
      <c r="R20" s="234">
        <f>'Исх данные'!R22</f>
        <v>0</v>
      </c>
      <c r="S20" s="234">
        <f>TRUMPF!T20</f>
        <v>0</v>
      </c>
      <c r="T20" s="234">
        <f>TRUMPF!U20</f>
        <v>0</v>
      </c>
      <c r="U20" s="234">
        <f>TRUMPF!V20</f>
        <v>0</v>
      </c>
      <c r="V20" s="234">
        <f>TRUMPF!W20</f>
        <v>0</v>
      </c>
      <c r="W20" s="234">
        <f>TRUMPF!X20</f>
        <v>0</v>
      </c>
      <c r="X20" s="234">
        <f>TRUMPF!Y20</f>
        <v>0</v>
      </c>
      <c r="Y20" s="233">
        <f>TRUMPF!Z20</f>
        <v>0</v>
      </c>
      <c r="Z20" s="233">
        <f>TRUMPF!AA20</f>
        <v>0</v>
      </c>
      <c r="AA20" s="233">
        <f>'хол корп'!J22</f>
        <v>0</v>
      </c>
      <c r="AB20" s="235">
        <f>TRUMPF!AD20</f>
        <v>0</v>
      </c>
      <c r="AC20" s="236">
        <f>TRUMPF!AE20</f>
        <v>0</v>
      </c>
      <c r="AF20"/>
      <c r="AG20" s="61">
        <f>Нормы!$E$5*M20</f>
        <v>0</v>
      </c>
      <c r="AH20" s="61">
        <f>Нормы!$B$5*J20</f>
        <v>0</v>
      </c>
      <c r="AI20" s="61">
        <f>Нормы!$B$5*Гибка!X20</f>
        <v>0</v>
      </c>
      <c r="AJ20" s="61">
        <f>Нормы!$B$5*Гибка!V20</f>
        <v>0</v>
      </c>
      <c r="AK20" s="61">
        <f>Нормы!$B$5*Гибка!T20</f>
        <v>0</v>
      </c>
      <c r="AL20" s="61">
        <f>Нормы!$C$4*Гибка!Q20</f>
        <v>0</v>
      </c>
      <c r="AM20" s="61">
        <f>Нормы!$C$6*Гибка!Z20</f>
        <v>0</v>
      </c>
      <c r="AN20" s="61">
        <f>Нормы!$C$5*Гибка!AA20</f>
        <v>0</v>
      </c>
      <c r="AO20" s="212">
        <f>Нормы!$C$5*Гибка!Y20</f>
        <v>0</v>
      </c>
      <c r="AP20" s="215">
        <f>Нормы!$D$4*Гибка!AB20</f>
        <v>0</v>
      </c>
      <c r="AQ20" s="214">
        <f>Нормы!$B$5*Гибка!AC20</f>
        <v>0</v>
      </c>
    </row>
    <row r="21" spans="1:43" s="162" customFormat="1" ht="15.75">
      <c r="A21" s="318"/>
      <c r="B21" s="319"/>
      <c r="C21" s="302"/>
      <c r="D21" s="303"/>
      <c r="E21" s="231">
        <f t="shared" si="0"/>
        <v>15</v>
      </c>
      <c r="F21" s="232">
        <f>'Исх данные'!A23</f>
        <v>0</v>
      </c>
      <c r="G21" s="232">
        <f ca="1">Гибка!F:AA</f>
        <v>0</v>
      </c>
      <c r="H21" s="232">
        <f>'Исх данные'!B23</f>
        <v>0</v>
      </c>
      <c r="I21" s="233">
        <f>'Исх данные'!G23</f>
        <v>0</v>
      </c>
      <c r="J21" s="233">
        <f>TRUMPF!K21</f>
        <v>0</v>
      </c>
      <c r="K21" s="234">
        <f>'Исх данные'!H23</f>
        <v>0</v>
      </c>
      <c r="L21" s="234"/>
      <c r="M21" s="234">
        <f>TRUMPF!N21</f>
        <v>0</v>
      </c>
      <c r="N21" s="234">
        <f>'Исх данные'!R23</f>
        <v>0</v>
      </c>
      <c r="O21" s="234">
        <f>TRUMPF!P21</f>
        <v>0</v>
      </c>
      <c r="P21" s="234">
        <f>TRUMPF!Q21</f>
        <v>-6</v>
      </c>
      <c r="Q21" s="234">
        <f>TRUMPF!R21</f>
        <v>0</v>
      </c>
      <c r="R21" s="234">
        <f>'Исх данные'!R23</f>
        <v>0</v>
      </c>
      <c r="S21" s="234">
        <f>TRUMPF!T21</f>
        <v>0</v>
      </c>
      <c r="T21" s="234">
        <f>TRUMPF!U21</f>
        <v>0</v>
      </c>
      <c r="U21" s="234">
        <f>TRUMPF!V21</f>
        <v>0</v>
      </c>
      <c r="V21" s="234">
        <f>TRUMPF!W21</f>
        <v>0</v>
      </c>
      <c r="W21" s="234">
        <f>TRUMPF!X21</f>
        <v>0</v>
      </c>
      <c r="X21" s="234">
        <f>TRUMPF!Y21</f>
        <v>0</v>
      </c>
      <c r="Y21" s="233">
        <f>TRUMPF!Z21</f>
        <v>0</v>
      </c>
      <c r="Z21" s="233">
        <f>TRUMPF!AA21</f>
        <v>0</v>
      </c>
      <c r="AA21" s="233">
        <f>'хол корп'!J23</f>
        <v>0</v>
      </c>
      <c r="AB21" s="235">
        <f>TRUMPF!AD21</f>
        <v>0</v>
      </c>
      <c r="AC21" s="236">
        <f>TRUMPF!AE21</f>
        <v>0</v>
      </c>
      <c r="AF21"/>
      <c r="AG21" s="61">
        <f>Нормы!$E$5*M21</f>
        <v>0</v>
      </c>
      <c r="AH21" s="61">
        <f>Нормы!$B$5*J21</f>
        <v>0</v>
      </c>
      <c r="AI21" s="61">
        <f>Нормы!$B$5*Гибка!X21</f>
        <v>0</v>
      </c>
      <c r="AJ21" s="61">
        <f>Нормы!$B$5*Гибка!V21</f>
        <v>0</v>
      </c>
      <c r="AK21" s="61">
        <f>Нормы!$B$5*Гибка!T21</f>
        <v>0</v>
      </c>
      <c r="AL21" s="61">
        <f>Нормы!$C$4*Гибка!Q21</f>
        <v>0</v>
      </c>
      <c r="AM21" s="61">
        <f>Нормы!$C$6*Гибка!Z21</f>
        <v>0</v>
      </c>
      <c r="AN21" s="61">
        <f>Нормы!$C$5*Гибка!AA21</f>
        <v>0</v>
      </c>
      <c r="AO21" s="212">
        <f>Нормы!$C$5*Гибка!Y21</f>
        <v>0</v>
      </c>
      <c r="AP21" s="215">
        <f>Нормы!$D$4*Гибка!AB21</f>
        <v>0</v>
      </c>
      <c r="AQ21" s="214">
        <f>Нормы!$B$5*Гибка!AC21</f>
        <v>0</v>
      </c>
    </row>
    <row r="22" spans="1:43" s="162" customFormat="1" ht="15.75">
      <c r="A22" s="318"/>
      <c r="B22" s="319"/>
      <c r="C22" s="302"/>
      <c r="D22" s="303"/>
      <c r="E22" s="231">
        <f t="shared" si="0"/>
        <v>16</v>
      </c>
      <c r="F22" s="232">
        <f>'Исх данные'!A24</f>
        <v>0</v>
      </c>
      <c r="G22" s="232">
        <f ca="1">Гибка!F:AA</f>
        <v>0</v>
      </c>
      <c r="H22" s="232">
        <f>'Исх данные'!B24</f>
        <v>0</v>
      </c>
      <c r="I22" s="233">
        <f>'Исх данные'!G24</f>
        <v>0</v>
      </c>
      <c r="J22" s="233">
        <f>TRUMPF!K22</f>
        <v>0</v>
      </c>
      <c r="K22" s="234">
        <f>'Исх данные'!H24</f>
        <v>0</v>
      </c>
      <c r="L22" s="234"/>
      <c r="M22" s="234">
        <f>TRUMPF!N22</f>
        <v>0</v>
      </c>
      <c r="N22" s="234">
        <f>'Исх данные'!R24</f>
        <v>0</v>
      </c>
      <c r="O22" s="234">
        <f>TRUMPF!P22</f>
        <v>0</v>
      </c>
      <c r="P22" s="234">
        <f>TRUMPF!Q22</f>
        <v>-6</v>
      </c>
      <c r="Q22" s="234">
        <f>TRUMPF!R22</f>
        <v>0</v>
      </c>
      <c r="R22" s="234">
        <f>'Исх данные'!R24</f>
        <v>0</v>
      </c>
      <c r="S22" s="234">
        <f>TRUMPF!T22</f>
        <v>0</v>
      </c>
      <c r="T22" s="234">
        <f>TRUMPF!U22</f>
        <v>0</v>
      </c>
      <c r="U22" s="234">
        <f>TRUMPF!V22</f>
        <v>0</v>
      </c>
      <c r="V22" s="234">
        <f>TRUMPF!W22</f>
        <v>0</v>
      </c>
      <c r="W22" s="234">
        <f>TRUMPF!X22</f>
        <v>0</v>
      </c>
      <c r="X22" s="234">
        <f>TRUMPF!Y22</f>
        <v>0</v>
      </c>
      <c r="Y22" s="233">
        <f>TRUMPF!Z22</f>
        <v>0</v>
      </c>
      <c r="Z22" s="233">
        <f>TRUMPF!AA22</f>
        <v>0</v>
      </c>
      <c r="AA22" s="233">
        <f>'хол корп'!J24</f>
        <v>0</v>
      </c>
      <c r="AB22" s="235">
        <f>TRUMPF!AD22</f>
        <v>0</v>
      </c>
      <c r="AC22" s="236">
        <f>TRUMPF!AE22</f>
        <v>0</v>
      </c>
      <c r="AF22"/>
      <c r="AG22" s="61">
        <f>Нормы!$E$5*M22</f>
        <v>0</v>
      </c>
      <c r="AH22" s="61">
        <f>Нормы!$B$5*J22</f>
        <v>0</v>
      </c>
      <c r="AI22" s="61">
        <f>Нормы!$B$5*Гибка!X22</f>
        <v>0</v>
      </c>
      <c r="AJ22" s="61">
        <f>Нормы!$B$5*Гибка!V22</f>
        <v>0</v>
      </c>
      <c r="AK22" s="61">
        <f>Нормы!$B$5*Гибка!T22</f>
        <v>0</v>
      </c>
      <c r="AL22" s="61">
        <f>Нормы!$C$4*Гибка!Q22</f>
        <v>0</v>
      </c>
      <c r="AM22" s="61">
        <f>Нормы!$C$6*Гибка!Z22</f>
        <v>0</v>
      </c>
      <c r="AN22" s="61">
        <f>Нормы!$C$5*Гибка!AA22</f>
        <v>0</v>
      </c>
      <c r="AO22" s="212">
        <f>Нормы!$C$5*Гибка!Y22</f>
        <v>0</v>
      </c>
      <c r="AP22" s="215">
        <f>Нормы!$D$4*Гибка!AB22</f>
        <v>0</v>
      </c>
      <c r="AQ22" s="214">
        <f>Нормы!$B$5*Гибка!AC22</f>
        <v>0</v>
      </c>
    </row>
    <row r="23" spans="1:43" s="162" customFormat="1" ht="15.75">
      <c r="A23" s="318"/>
      <c r="B23" s="319"/>
      <c r="C23" s="302"/>
      <c r="D23" s="303"/>
      <c r="E23" s="231">
        <f t="shared" si="0"/>
        <v>17</v>
      </c>
      <c r="F23" s="232">
        <f>'Исх данные'!A25</f>
        <v>0</v>
      </c>
      <c r="G23" s="232">
        <f ca="1">Гибка!F:AA</f>
        <v>0</v>
      </c>
      <c r="H23" s="232">
        <f>'Исх данные'!B25</f>
        <v>0</v>
      </c>
      <c r="I23" s="233">
        <f>'Исх данные'!G25</f>
        <v>0</v>
      </c>
      <c r="J23" s="233">
        <f>TRUMPF!K23</f>
        <v>0</v>
      </c>
      <c r="K23" s="234">
        <f>'Исх данные'!H25</f>
        <v>0</v>
      </c>
      <c r="L23" s="234"/>
      <c r="M23" s="234">
        <f>TRUMPF!N23</f>
        <v>0</v>
      </c>
      <c r="N23" s="234">
        <f>'Исх данные'!R25</f>
        <v>0</v>
      </c>
      <c r="O23" s="234">
        <f>TRUMPF!P23</f>
        <v>0</v>
      </c>
      <c r="P23" s="234">
        <f>TRUMPF!Q23</f>
        <v>-6</v>
      </c>
      <c r="Q23" s="234">
        <f>TRUMPF!R23</f>
        <v>0</v>
      </c>
      <c r="R23" s="234">
        <f>'Исх данные'!R25</f>
        <v>0</v>
      </c>
      <c r="S23" s="234">
        <f>TRUMPF!T23</f>
        <v>0</v>
      </c>
      <c r="T23" s="234">
        <f>TRUMPF!U23</f>
        <v>0</v>
      </c>
      <c r="U23" s="234">
        <f>TRUMPF!V23</f>
        <v>0</v>
      </c>
      <c r="V23" s="234">
        <f>TRUMPF!W23</f>
        <v>0</v>
      </c>
      <c r="W23" s="234">
        <f>TRUMPF!X23</f>
        <v>0</v>
      </c>
      <c r="X23" s="234">
        <f>TRUMPF!Y23</f>
        <v>0</v>
      </c>
      <c r="Y23" s="233">
        <f>TRUMPF!Z23</f>
        <v>0</v>
      </c>
      <c r="Z23" s="233">
        <f>TRUMPF!AA23</f>
        <v>0</v>
      </c>
      <c r="AA23" s="233">
        <f>'хол корп'!J25</f>
        <v>0</v>
      </c>
      <c r="AB23" s="235">
        <f>TRUMPF!AD23</f>
        <v>0</v>
      </c>
      <c r="AC23" s="236">
        <f>TRUMPF!AE23</f>
        <v>0</v>
      </c>
      <c r="AF23"/>
      <c r="AG23" s="61">
        <f>Нормы!$E$5*M23</f>
        <v>0</v>
      </c>
      <c r="AH23" s="61">
        <f>Нормы!$B$5*J23</f>
        <v>0</v>
      </c>
      <c r="AI23" s="61">
        <f>Нормы!$B$5*Гибка!X23</f>
        <v>0</v>
      </c>
      <c r="AJ23" s="61">
        <f>Нормы!$B$5*Гибка!V23</f>
        <v>0</v>
      </c>
      <c r="AK23" s="61">
        <f>Нормы!$B$5*Гибка!T23</f>
        <v>0</v>
      </c>
      <c r="AL23" s="61">
        <f>Нормы!$C$4*Гибка!Q23</f>
        <v>0</v>
      </c>
      <c r="AM23" s="61">
        <f>Нормы!$C$6*Гибка!Z23</f>
        <v>0</v>
      </c>
      <c r="AN23" s="61">
        <f>Нормы!$C$5*Гибка!AA23</f>
        <v>0</v>
      </c>
      <c r="AO23" s="212">
        <f>Нормы!$C$5*Гибка!Y23</f>
        <v>0</v>
      </c>
      <c r="AP23" s="215">
        <f>Нормы!$D$4*Гибка!AB23</f>
        <v>0</v>
      </c>
      <c r="AQ23" s="214">
        <f>Нормы!$B$5*Гибка!AC23</f>
        <v>0</v>
      </c>
    </row>
    <row r="24" spans="1:43" s="162" customFormat="1" ht="16.5" thickBot="1">
      <c r="A24" s="318"/>
      <c r="B24" s="319"/>
      <c r="C24" s="302"/>
      <c r="D24" s="303"/>
      <c r="E24" s="237">
        <f t="shared" si="0"/>
        <v>18</v>
      </c>
      <c r="F24" s="238">
        <f>'Исх данные'!A26</f>
        <v>0</v>
      </c>
      <c r="G24" s="238">
        <f ca="1">Гибка!F:AA</f>
        <v>0</v>
      </c>
      <c r="H24" s="238">
        <f>'Исх данные'!B26</f>
        <v>0</v>
      </c>
      <c r="I24" s="239">
        <f>'Исх данные'!G26</f>
        <v>0</v>
      </c>
      <c r="J24" s="239">
        <f>TRUMPF!K24</f>
        <v>0</v>
      </c>
      <c r="K24" s="240">
        <f>'Исх данные'!H26</f>
        <v>0</v>
      </c>
      <c r="L24" s="240"/>
      <c r="M24" s="240">
        <f>TRUMPF!N24</f>
        <v>0</v>
      </c>
      <c r="N24" s="240">
        <f>'Исх данные'!R26</f>
        <v>0</v>
      </c>
      <c r="O24" s="240">
        <f>TRUMPF!P24</f>
        <v>0</v>
      </c>
      <c r="P24" s="240">
        <f>TRUMPF!Q24</f>
        <v>-6</v>
      </c>
      <c r="Q24" s="240">
        <f>TRUMPF!R24</f>
        <v>0</v>
      </c>
      <c r="R24" s="240">
        <f>'Исх данные'!R26</f>
        <v>0</v>
      </c>
      <c r="S24" s="240">
        <f>TRUMPF!T24</f>
        <v>0</v>
      </c>
      <c r="T24" s="240">
        <f>TRUMPF!U24</f>
        <v>0</v>
      </c>
      <c r="U24" s="240">
        <f>TRUMPF!V24</f>
        <v>0</v>
      </c>
      <c r="V24" s="240">
        <f>TRUMPF!W24</f>
        <v>0</v>
      </c>
      <c r="W24" s="240">
        <f>TRUMPF!X24</f>
        <v>0</v>
      </c>
      <c r="X24" s="240">
        <f>TRUMPF!Y24</f>
        <v>0</v>
      </c>
      <c r="Y24" s="239">
        <f>TRUMPF!Z24</f>
        <v>0</v>
      </c>
      <c r="Z24" s="239">
        <f>TRUMPF!AA24</f>
        <v>0</v>
      </c>
      <c r="AA24" s="239">
        <f>'хол корп'!J26</f>
        <v>0</v>
      </c>
      <c r="AB24" s="241">
        <f>TRUMPF!AD24</f>
        <v>0</v>
      </c>
      <c r="AC24" s="242">
        <f>TRUMPF!AE24</f>
        <v>0</v>
      </c>
      <c r="AF24"/>
      <c r="AG24" s="61">
        <f>Нормы!$E$5*M24</f>
        <v>0</v>
      </c>
      <c r="AH24" s="61">
        <f>Нормы!$B$5*J24</f>
        <v>0</v>
      </c>
      <c r="AI24" s="61">
        <f>Нормы!$B$5*Гибка!X24</f>
        <v>0</v>
      </c>
      <c r="AJ24" s="61">
        <f>Нормы!$B$5*Гибка!V24</f>
        <v>0</v>
      </c>
      <c r="AK24" s="61">
        <f>Нормы!$B$5*Гибка!T24</f>
        <v>0</v>
      </c>
      <c r="AL24" s="61">
        <f>Нормы!$C$4*Гибка!Q24</f>
        <v>0</v>
      </c>
      <c r="AM24" s="61">
        <f>Нормы!$C$6*Гибка!Z24</f>
        <v>0</v>
      </c>
      <c r="AN24" s="61">
        <f>Нормы!$C$5*Гибка!AA24</f>
        <v>0</v>
      </c>
      <c r="AO24" s="212">
        <f>Нормы!$C$5*Гибка!Y24</f>
        <v>0</v>
      </c>
      <c r="AP24" s="215">
        <f>Нормы!$D$4*Гибка!AB24</f>
        <v>0</v>
      </c>
      <c r="AQ24" s="214">
        <f>Нормы!$B$5*Гибка!AC24</f>
        <v>0</v>
      </c>
    </row>
    <row r="25" spans="1:43" ht="19.5" customHeight="1" thickBot="1">
      <c r="A25" s="318"/>
      <c r="B25" s="319"/>
      <c r="C25" s="302"/>
      <c r="D25" s="303"/>
      <c r="T25" s="139"/>
      <c r="U25" s="139"/>
      <c r="V25" s="139"/>
      <c r="W25" s="139"/>
      <c r="X25" s="139"/>
      <c r="Y25" s="139"/>
      <c r="Z25" s="139"/>
      <c r="AG25" s="122">
        <f t="shared" ref="AG25:AQ25" si="1">SUM(AG7:AG24)</f>
        <v>0</v>
      </c>
      <c r="AH25" s="122">
        <f t="shared" si="1"/>
        <v>0</v>
      </c>
      <c r="AI25" s="122">
        <f t="shared" si="1"/>
        <v>0</v>
      </c>
      <c r="AJ25" s="123">
        <f t="shared" si="1"/>
        <v>0</v>
      </c>
      <c r="AK25" s="123">
        <f t="shared" si="1"/>
        <v>0</v>
      </c>
      <c r="AL25" s="123">
        <f t="shared" si="1"/>
        <v>0</v>
      </c>
      <c r="AM25" s="123">
        <f t="shared" si="1"/>
        <v>0</v>
      </c>
      <c r="AN25" s="122">
        <f t="shared" si="1"/>
        <v>0</v>
      </c>
      <c r="AO25" s="213">
        <f t="shared" si="1"/>
        <v>0</v>
      </c>
      <c r="AP25" s="121">
        <f t="shared" si="1"/>
        <v>0</v>
      </c>
      <c r="AQ25" s="128">
        <f t="shared" si="1"/>
        <v>0</v>
      </c>
    </row>
    <row r="26" spans="1:43" ht="36">
      <c r="D26" s="150"/>
      <c r="E26" s="130"/>
      <c r="F26" s="130"/>
      <c r="I26" s="143"/>
      <c r="J26" s="143"/>
      <c r="K26" s="143"/>
      <c r="L26" s="143"/>
      <c r="M26" s="143"/>
      <c r="N26" s="143"/>
      <c r="O26" s="144"/>
      <c r="P26" s="14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F26" s="210"/>
    </row>
    <row r="27" spans="1:43" ht="22.5">
      <c r="C27" s="146"/>
      <c r="D27" s="146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6"/>
    </row>
    <row r="28" spans="1:43" ht="22.5">
      <c r="C28" s="146"/>
      <c r="D28" s="130"/>
      <c r="E28" s="130"/>
      <c r="F28" s="130"/>
      <c r="G28" s="130"/>
      <c r="H28" s="130"/>
      <c r="I28" s="130"/>
      <c r="J28" s="195"/>
      <c r="K28" s="130"/>
      <c r="L28" s="130"/>
      <c r="M28" s="195"/>
      <c r="N28" s="130"/>
      <c r="P28" s="130"/>
      <c r="Q28" s="130"/>
      <c r="R28" s="145"/>
      <c r="S28" s="145"/>
      <c r="T28" s="145"/>
      <c r="U28" s="145"/>
      <c r="V28" s="146"/>
    </row>
    <row r="29" spans="1:43" ht="22.5">
      <c r="B29" s="63"/>
      <c r="C29" s="63"/>
      <c r="D29" s="166" t="s">
        <v>169</v>
      </c>
      <c r="E29" s="167"/>
      <c r="F29" s="167"/>
      <c r="G29" s="168" t="e">
        <f>#REF!+#REF!+#REF!+#REF!+#REF!+#REF!+#REF!+#REF!+#REF!</f>
        <v>#REF!</v>
      </c>
      <c r="H29" s="168"/>
      <c r="I29" s="169"/>
      <c r="J29" s="169"/>
      <c r="K29" s="167">
        <f>AG25+AH25+AI25+AJ25+AK25+AL25+AM25+AN25+AO25+AP25+AQ25</f>
        <v>0</v>
      </c>
      <c r="L29" s="167"/>
      <c r="M29" s="167"/>
      <c r="N29" s="167"/>
      <c r="O29" s="63"/>
      <c r="P29" s="63"/>
      <c r="Q29" s="101"/>
      <c r="R29" s="146"/>
      <c r="S29" s="146"/>
      <c r="T29" s="146"/>
      <c r="U29" s="146"/>
      <c r="V29" s="146"/>
    </row>
    <row r="30" spans="1:43" ht="22.5">
      <c r="B30" s="63"/>
      <c r="C30" s="63"/>
      <c r="D30" s="166"/>
      <c r="E30" s="166"/>
      <c r="F30" s="166"/>
      <c r="G30" s="63"/>
      <c r="H30" s="63"/>
      <c r="I30" s="63"/>
      <c r="J30" s="63"/>
      <c r="K30" s="166"/>
      <c r="L30" s="166"/>
      <c r="M30" s="166"/>
      <c r="N30" s="166"/>
      <c r="O30" s="63"/>
      <c r="P30" s="63"/>
      <c r="Q30" s="101"/>
      <c r="R30" s="146"/>
      <c r="S30" s="146"/>
      <c r="T30" s="146"/>
      <c r="U30" s="146"/>
      <c r="V30" s="146"/>
    </row>
    <row r="31" spans="1:43" ht="22.5" customHeight="1"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170"/>
      <c r="P31" s="63"/>
      <c r="Q31" s="165"/>
    </row>
    <row r="32" spans="1:43" ht="22.5">
      <c r="B32" s="63"/>
      <c r="C32" s="63"/>
      <c r="D32" s="63"/>
      <c r="E32" s="63" t="s">
        <v>170</v>
      </c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45"/>
    </row>
    <row r="33" spans="2:22" ht="22.5">
      <c r="B33" s="63"/>
      <c r="C33" s="63"/>
      <c r="D33" s="63"/>
      <c r="E33" s="63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45"/>
    </row>
    <row r="34" spans="2:22" ht="22.5">
      <c r="B34" s="63"/>
      <c r="C34" s="63"/>
      <c r="D34" s="63"/>
      <c r="E34" s="63" t="s">
        <v>171</v>
      </c>
      <c r="F34" s="63"/>
      <c r="G34" s="63"/>
      <c r="H34" s="63"/>
      <c r="I34" s="63" t="s">
        <v>152</v>
      </c>
      <c r="J34" s="63"/>
      <c r="K34" s="63"/>
      <c r="L34" s="63"/>
      <c r="M34" s="63"/>
      <c r="N34" s="63"/>
      <c r="O34" s="63"/>
      <c r="P34" s="63"/>
      <c r="Q34" s="146"/>
    </row>
    <row r="35" spans="2:22" ht="18.75"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166" t="s">
        <v>153</v>
      </c>
      <c r="M35" s="166"/>
      <c r="N35" s="63"/>
      <c r="O35" s="63"/>
      <c r="P35" s="63"/>
    </row>
    <row r="36" spans="2:22" ht="22.5">
      <c r="B36" s="63"/>
      <c r="C36" s="63"/>
      <c r="D36" s="63"/>
      <c r="E36" s="63"/>
      <c r="F36" s="166"/>
      <c r="G36" s="166"/>
      <c r="H36" s="166"/>
      <c r="I36" s="166"/>
      <c r="J36" s="166"/>
      <c r="K36" s="63"/>
      <c r="L36" s="63"/>
      <c r="M36" s="63"/>
      <c r="N36" s="63"/>
      <c r="O36" s="63"/>
      <c r="P36" s="63"/>
      <c r="Q36" s="146"/>
    </row>
    <row r="37" spans="2:22">
      <c r="D37" s="130"/>
      <c r="F37" s="130"/>
      <c r="G37" s="143"/>
      <c r="H37" s="143"/>
      <c r="I37" s="143"/>
      <c r="J37" s="143"/>
      <c r="K37" s="143"/>
      <c r="L37" s="143"/>
      <c r="M37" s="143"/>
      <c r="N37" s="130"/>
      <c r="O37" s="130"/>
      <c r="P37" s="130"/>
      <c r="Q37" s="130"/>
    </row>
    <row r="38" spans="2:22" ht="36">
      <c r="B38" s="150"/>
      <c r="C38" s="130"/>
      <c r="D38" s="130"/>
      <c r="F38" s="130"/>
      <c r="G38" s="130"/>
      <c r="H38" s="130"/>
      <c r="I38" s="130"/>
      <c r="J38" s="195"/>
      <c r="K38" s="143"/>
      <c r="L38" s="143"/>
      <c r="M38" s="143"/>
      <c r="N38" s="143"/>
      <c r="O38" s="143"/>
      <c r="P38" s="143"/>
      <c r="Q38" s="143"/>
      <c r="R38" s="143"/>
      <c r="S38" s="143"/>
      <c r="T38" s="130"/>
      <c r="U38" s="144"/>
      <c r="V38" s="130"/>
    </row>
    <row r="39" spans="2:22" ht="22.5">
      <c r="B39" s="146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2:22" ht="22.5">
      <c r="B40" s="146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2:22" ht="22.5"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2:22" ht="22.5"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7"/>
      <c r="V42" s="146"/>
    </row>
  </sheetData>
  <mergeCells count="16">
    <mergeCell ref="AG5:AO5"/>
    <mergeCell ref="N5:N6"/>
    <mergeCell ref="R5:R6"/>
    <mergeCell ref="A14:A25"/>
    <mergeCell ref="C10:C25"/>
    <mergeCell ref="D5:D25"/>
    <mergeCell ref="B9:B25"/>
    <mergeCell ref="B3:C8"/>
    <mergeCell ref="F4:AA4"/>
    <mergeCell ref="E5:E6"/>
    <mergeCell ref="F5:F6"/>
    <mergeCell ref="O5:P5"/>
    <mergeCell ref="S5:T5"/>
    <mergeCell ref="U5:V5"/>
    <mergeCell ref="W5:X5"/>
    <mergeCell ref="H5:H6"/>
  </mergeCells>
  <pageMargins left="0" right="0" top="0" bottom="0" header="0.31496062992125984" footer="0.31496062992125984"/>
  <pageSetup paperSize="9"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3</vt:i4>
      </vt:variant>
    </vt:vector>
  </HeadingPairs>
  <TitlesOfParts>
    <vt:vector size="14" baseType="lpstr">
      <vt:lpstr>Исх данные</vt:lpstr>
      <vt:lpstr>корпус</vt:lpstr>
      <vt:lpstr>хол корп</vt:lpstr>
      <vt:lpstr>Сетка</vt:lpstr>
      <vt:lpstr>МРП-МРЗ</vt:lpstr>
      <vt:lpstr>Ножницы</vt:lpstr>
      <vt:lpstr>р 25 </vt:lpstr>
      <vt:lpstr>TRUMPF</vt:lpstr>
      <vt:lpstr>Гибка</vt:lpstr>
      <vt:lpstr>Комплектовочный</vt:lpstr>
      <vt:lpstr>Нормы</vt:lpstr>
      <vt:lpstr>Ножницы!Область_печати</vt:lpstr>
      <vt:lpstr>'р 25 '!Область_печати</vt:lpstr>
      <vt:lpstr>'хол корп'!Область_печати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fart</dc:creator>
  <cp:lastModifiedBy>kondratenkosa</cp:lastModifiedBy>
  <cp:lastPrinted>2013-11-08T03:56:55Z</cp:lastPrinted>
  <dcterms:created xsi:type="dcterms:W3CDTF">2012-04-12T05:55:58Z</dcterms:created>
  <dcterms:modified xsi:type="dcterms:W3CDTF">2014-03-12T01:34:32Z</dcterms:modified>
</cp:coreProperties>
</file>