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3530" windowHeight="7995"/>
  </bookViews>
  <sheets>
    <sheet name="Исходные данные" sheetId="1" r:id="rId1"/>
    <sheet name="Пила УВК" sheetId="2" r:id="rId2"/>
    <sheet name="Ножницы кожух" sheetId="9" r:id="rId3"/>
    <sheet name="Ножницы лента" sheetId="10" r:id="rId4"/>
    <sheet name="Ножницы упор" sheetId="7" r:id="rId5"/>
    <sheet name="reg_table" sheetId="11" r:id="rId6"/>
  </sheets>
  <definedNames>
    <definedName name="_xlnm.Print_Area" localSheetId="2">'Ножницы кожух'!$A$2:$K$43</definedName>
    <definedName name="_xlnm.Print_Area" localSheetId="3">'Ножницы лента'!$A$2:$J$42</definedName>
    <definedName name="_xlnm.Print_Area" localSheetId="4">'Ножницы упор'!$A$4:$J$39</definedName>
    <definedName name="_xlnm.Print_Area" localSheetId="1">'Пила УВК'!$A$2:$I$47</definedName>
  </definedNames>
  <calcPr calcId="124519"/>
</workbook>
</file>

<file path=xl/calcChain.xml><?xml version="1.0" encoding="utf-8"?>
<calcChain xmlns="http://schemas.openxmlformats.org/spreadsheetml/2006/main">
  <c r="J7" i="2"/>
  <c r="A8"/>
  <c r="D8"/>
  <c r="E8"/>
  <c r="G8"/>
  <c r="H8"/>
  <c r="J8"/>
  <c r="A9"/>
  <c r="D9"/>
  <c r="E9"/>
  <c r="G9"/>
  <c r="H9"/>
  <c r="J9"/>
  <c r="J20"/>
  <c r="H31" i="1"/>
  <c r="J11" i="2"/>
  <c r="J12"/>
  <c r="J13"/>
  <c r="J14"/>
  <c r="J15"/>
  <c r="J16"/>
  <c r="J17"/>
  <c r="J18"/>
  <c r="J19"/>
  <c r="J21"/>
  <c r="J22"/>
  <c r="J23"/>
  <c r="J24"/>
  <c r="J25"/>
  <c r="J26"/>
  <c r="J27"/>
  <c r="H11"/>
  <c r="H12"/>
  <c r="H13"/>
  <c r="H14"/>
  <c r="H15"/>
  <c r="H16"/>
  <c r="H17"/>
  <c r="H18"/>
  <c r="H19"/>
  <c r="H20"/>
  <c r="H21"/>
  <c r="H22"/>
  <c r="H23"/>
  <c r="H24"/>
  <c r="H25"/>
  <c r="H26"/>
  <c r="H27"/>
  <c r="H7"/>
  <c r="G11"/>
  <c r="G12"/>
  <c r="G13"/>
  <c r="G14"/>
  <c r="G15"/>
  <c r="G16"/>
  <c r="G17"/>
  <c r="G18"/>
  <c r="G19"/>
  <c r="G20"/>
  <c r="G21"/>
  <c r="G22"/>
  <c r="G23"/>
  <c r="G24"/>
  <c r="G25"/>
  <c r="G26"/>
  <c r="G27"/>
  <c r="E11"/>
  <c r="E12"/>
  <c r="E13"/>
  <c r="E14"/>
  <c r="E15"/>
  <c r="E16"/>
  <c r="E17"/>
  <c r="E18"/>
  <c r="E19"/>
  <c r="E20"/>
  <c r="E21"/>
  <c r="E22"/>
  <c r="E23"/>
  <c r="E24"/>
  <c r="E25"/>
  <c r="E26"/>
  <c r="E27"/>
  <c r="E7"/>
  <c r="D11"/>
  <c r="D12"/>
  <c r="D13"/>
  <c r="D14"/>
  <c r="D15"/>
  <c r="D16"/>
  <c r="D17"/>
  <c r="D18"/>
  <c r="D19"/>
  <c r="D20"/>
  <c r="D21"/>
  <c r="D22"/>
  <c r="D23"/>
  <c r="D24"/>
  <c r="D25"/>
  <c r="D26"/>
  <c r="D27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7"/>
  <c r="G7"/>
  <c r="D7"/>
  <c r="H31" i="7"/>
  <c r="H29"/>
  <c r="B32"/>
  <c r="G30" i="9"/>
  <c r="G28"/>
  <c r="Q27" i="1"/>
  <c r="D4" i="2"/>
  <c r="G38" s="1"/>
  <c r="G37" i="7"/>
  <c r="G34" i="10"/>
  <c r="G36" i="9"/>
  <c r="P10" l="1"/>
  <c r="A4" i="10"/>
  <c r="A4" i="7"/>
  <c r="AS6" i="1"/>
  <c r="AH7" l="1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6"/>
  <c r="E8" i="7" l="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8"/>
  <c r="B9"/>
  <c r="B10"/>
  <c r="B11"/>
  <c r="B12"/>
  <c r="B13"/>
  <c r="B14"/>
  <c r="B15"/>
  <c r="B16"/>
  <c r="B17"/>
  <c r="B18"/>
  <c r="B19"/>
  <c r="B20"/>
  <c r="B21"/>
  <c r="F21" s="1"/>
  <c r="B22"/>
  <c r="F22" s="1"/>
  <c r="B23"/>
  <c r="F23" s="1"/>
  <c r="B24"/>
  <c r="F24" s="1"/>
  <c r="B25"/>
  <c r="F25" s="1"/>
  <c r="B26"/>
  <c r="F26" s="1"/>
  <c r="B27"/>
  <c r="F27" s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E7" i="1" l="1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G8" i="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11" i="2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C8" i="10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R7" i="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P27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Q8" l="1"/>
  <c r="Q9"/>
  <c r="Q7"/>
  <c r="Q26"/>
  <c r="Q24"/>
  <c r="Q22"/>
  <c r="Q20"/>
  <c r="Q18"/>
  <c r="Q16"/>
  <c r="Q14"/>
  <c r="Q12"/>
  <c r="Q25"/>
  <c r="Q23"/>
  <c r="Q21"/>
  <c r="Q19"/>
  <c r="Q17"/>
  <c r="Q15"/>
  <c r="Q13"/>
  <c r="Q11"/>
  <c r="Q10"/>
  <c r="F25" i="9"/>
  <c r="K25" s="1"/>
  <c r="AO24" i="1"/>
  <c r="E25" i="9"/>
  <c r="AQ24" i="1"/>
  <c r="AF25"/>
  <c r="AI25" s="1"/>
  <c r="E26" i="9"/>
  <c r="AQ25" i="1"/>
  <c r="F26" i="9"/>
  <c r="K26" s="1"/>
  <c r="AO25" i="1"/>
  <c r="AF23"/>
  <c r="AI23" s="1"/>
  <c r="E24" i="9"/>
  <c r="AQ23" i="1"/>
  <c r="F24" i="9"/>
  <c r="K24" s="1"/>
  <c r="AO23" i="1"/>
  <c r="AF21"/>
  <c r="AI21" s="1"/>
  <c r="E22" i="9"/>
  <c r="AQ21" i="1"/>
  <c r="F22" i="9"/>
  <c r="K22" s="1"/>
  <c r="AO21" i="1"/>
  <c r="E20" i="9"/>
  <c r="AQ19" i="1"/>
  <c r="F20" i="9"/>
  <c r="K20" s="1"/>
  <c r="AO19" i="1"/>
  <c r="E18" i="9"/>
  <c r="AQ17" i="1"/>
  <c r="F18" i="9"/>
  <c r="K18" s="1"/>
  <c r="AO17" i="1"/>
  <c r="F27" i="9"/>
  <c r="K27" s="1"/>
  <c r="AO26" i="1"/>
  <c r="E27" i="9"/>
  <c r="AQ26" i="1"/>
  <c r="F23" i="9"/>
  <c r="K23" s="1"/>
  <c r="AO22" i="1"/>
  <c r="E23" i="9"/>
  <c r="AQ22" i="1"/>
  <c r="F21" i="9"/>
  <c r="K21" s="1"/>
  <c r="AO20" i="1"/>
  <c r="E21" i="9"/>
  <c r="AQ20" i="1"/>
  <c r="F19" i="9"/>
  <c r="K19" s="1"/>
  <c r="AO18" i="1"/>
  <c r="E19" i="9"/>
  <c r="AQ18" i="1"/>
  <c r="F17" i="9"/>
  <c r="K17" s="1"/>
  <c r="AO16" i="1"/>
  <c r="E17" i="9"/>
  <c r="AQ16" i="1"/>
  <c r="AO15"/>
  <c r="AQ15"/>
  <c r="E16" i="9"/>
  <c r="F16"/>
  <c r="K16" s="1"/>
  <c r="F15"/>
  <c r="K15" s="1"/>
  <c r="AO14" i="1"/>
  <c r="E15" i="9"/>
  <c r="AQ14" i="1"/>
  <c r="AO13"/>
  <c r="AQ13"/>
  <c r="E14" i="9"/>
  <c r="F14"/>
  <c r="K14" s="1"/>
  <c r="AQ12" i="1"/>
  <c r="E13" i="9"/>
  <c r="F13"/>
  <c r="K13" s="1"/>
  <c r="AO12" i="1"/>
  <c r="AO11"/>
  <c r="E12" i="9"/>
  <c r="F12"/>
  <c r="K12" s="1"/>
  <c r="AO10" i="1"/>
  <c r="AO9"/>
  <c r="AO7"/>
  <c r="AO8"/>
  <c r="P26"/>
  <c r="N26"/>
  <c r="G27" i="10"/>
  <c r="AM26" i="1"/>
  <c r="AG26"/>
  <c r="X26"/>
  <c r="H27" i="7"/>
  <c r="P24" i="1"/>
  <c r="N24"/>
  <c r="G25" i="10"/>
  <c r="AM24" i="1"/>
  <c r="AG24"/>
  <c r="X24"/>
  <c r="H25" i="7"/>
  <c r="G25"/>
  <c r="P22" i="1"/>
  <c r="N22"/>
  <c r="G23" i="10"/>
  <c r="AM22" i="1"/>
  <c r="AG22"/>
  <c r="X22"/>
  <c r="H23" i="7"/>
  <c r="G23"/>
  <c r="Z20" i="1"/>
  <c r="M26"/>
  <c r="M24"/>
  <c r="M22"/>
  <c r="T25"/>
  <c r="T23"/>
  <c r="T21"/>
  <c r="U25"/>
  <c r="U23"/>
  <c r="U21"/>
  <c r="E27" i="10"/>
  <c r="V26" i="1" s="1"/>
  <c r="E25" i="10"/>
  <c r="V24" i="1" s="1"/>
  <c r="E23" i="10"/>
  <c r="V22" i="1" s="1"/>
  <c r="Y25"/>
  <c r="Y23"/>
  <c r="Y21"/>
  <c r="W25"/>
  <c r="W23"/>
  <c r="W21"/>
  <c r="Z25"/>
  <c r="Z23"/>
  <c r="Z21"/>
  <c r="AG25"/>
  <c r="P25"/>
  <c r="N25"/>
  <c r="G26" i="10"/>
  <c r="AM25" i="1"/>
  <c r="X25"/>
  <c r="H26" i="7"/>
  <c r="G26"/>
  <c r="AG23" i="1"/>
  <c r="P23"/>
  <c r="N23"/>
  <c r="G24" i="10"/>
  <c r="AM23" i="1"/>
  <c r="X23"/>
  <c r="H24" i="7"/>
  <c r="G24"/>
  <c r="AG21" i="1"/>
  <c r="P21"/>
  <c r="N21"/>
  <c r="G22" i="10"/>
  <c r="AM21" i="1"/>
  <c r="X21"/>
  <c r="H22" i="7"/>
  <c r="G22"/>
  <c r="M25" i="1"/>
  <c r="M23"/>
  <c r="M21"/>
  <c r="T26"/>
  <c r="T24"/>
  <c r="T22"/>
  <c r="U26"/>
  <c r="U24"/>
  <c r="U22"/>
  <c r="E26" i="10"/>
  <c r="V25" i="1" s="1"/>
  <c r="E24" i="10"/>
  <c r="V23" i="1" s="1"/>
  <c r="E22" i="10"/>
  <c r="V21" i="1" s="1"/>
  <c r="F27" i="10"/>
  <c r="F26"/>
  <c r="F25"/>
  <c r="F24"/>
  <c r="F23"/>
  <c r="F22"/>
  <c r="Y26" i="1"/>
  <c r="Y24"/>
  <c r="Y22"/>
  <c r="W26"/>
  <c r="W24"/>
  <c r="W22"/>
  <c r="Z26"/>
  <c r="Z24"/>
  <c r="Z22"/>
  <c r="AF26"/>
  <c r="AI26" s="1"/>
  <c r="AF24"/>
  <c r="AI24" s="1"/>
  <c r="AF22"/>
  <c r="AI22" s="1"/>
  <c r="P7"/>
  <c r="AG7"/>
  <c r="T20"/>
  <c r="E21" i="10"/>
  <c r="V20" i="1" s="1"/>
  <c r="F21" i="10"/>
  <c r="Y20" i="1"/>
  <c r="P20"/>
  <c r="AG20"/>
  <c r="N20"/>
  <c r="AM20"/>
  <c r="X20"/>
  <c r="G21" i="7"/>
  <c r="H21"/>
  <c r="M20" i="1"/>
  <c r="U20"/>
  <c r="W20"/>
  <c r="AF20"/>
  <c r="AI20" s="1"/>
  <c r="N19"/>
  <c r="P19"/>
  <c r="AG19"/>
  <c r="X19"/>
  <c r="H20" i="7"/>
  <c r="G20"/>
  <c r="N17" i="1"/>
  <c r="P17"/>
  <c r="AG17"/>
  <c r="X17"/>
  <c r="H18" i="7"/>
  <c r="G18"/>
  <c r="N15" i="1"/>
  <c r="P15"/>
  <c r="AG15"/>
  <c r="X15"/>
  <c r="H16" i="7"/>
  <c r="G16"/>
  <c r="X13" i="1"/>
  <c r="N13"/>
  <c r="P13"/>
  <c r="AG13"/>
  <c r="AG11"/>
  <c r="P11"/>
  <c r="AG9"/>
  <c r="P9"/>
  <c r="M19"/>
  <c r="M17"/>
  <c r="M15"/>
  <c r="T18"/>
  <c r="T16"/>
  <c r="U18"/>
  <c r="U16"/>
  <c r="E19" i="10"/>
  <c r="V18" i="1" s="1"/>
  <c r="E17" i="10"/>
  <c r="V16" i="1" s="1"/>
  <c r="F16" i="10"/>
  <c r="Y19" i="1"/>
  <c r="Y17"/>
  <c r="Y15"/>
  <c r="W19"/>
  <c r="W17"/>
  <c r="W15"/>
  <c r="Z19"/>
  <c r="Z17"/>
  <c r="Z15"/>
  <c r="AF19"/>
  <c r="AI19" s="1"/>
  <c r="AF17"/>
  <c r="AI17" s="1"/>
  <c r="AF15"/>
  <c r="AI15" s="1"/>
  <c r="P18"/>
  <c r="AG18"/>
  <c r="N18"/>
  <c r="X18"/>
  <c r="H19" i="7"/>
  <c r="G19"/>
  <c r="P16" i="1"/>
  <c r="AG16"/>
  <c r="N16"/>
  <c r="X16"/>
  <c r="H17" i="7"/>
  <c r="G17"/>
  <c r="X14" i="1"/>
  <c r="P14"/>
  <c r="AG14"/>
  <c r="N14"/>
  <c r="AG12"/>
  <c r="P12"/>
  <c r="AG10"/>
  <c r="P10"/>
  <c r="AG8"/>
  <c r="P8"/>
  <c r="M18"/>
  <c r="M16"/>
  <c r="T19"/>
  <c r="T17"/>
  <c r="T15"/>
  <c r="U19"/>
  <c r="U17"/>
  <c r="U15"/>
  <c r="E20" i="10"/>
  <c r="V19" i="1" s="1"/>
  <c r="E18" i="10"/>
  <c r="V17" i="1" s="1"/>
  <c r="E16" i="10"/>
  <c r="V15" i="1" s="1"/>
  <c r="F20" i="10"/>
  <c r="F19"/>
  <c r="F18"/>
  <c r="F17"/>
  <c r="Y18" i="1"/>
  <c r="Y16"/>
  <c r="W18"/>
  <c r="W16"/>
  <c r="Z18"/>
  <c r="Z16"/>
  <c r="AF18"/>
  <c r="AI18" s="1"/>
  <c r="AF16"/>
  <c r="AI16" s="1"/>
  <c r="X11"/>
  <c r="AQ11"/>
  <c r="N11"/>
  <c r="X12"/>
  <c r="N12"/>
  <c r="AQ9"/>
  <c r="N9"/>
  <c r="X10"/>
  <c r="AQ10"/>
  <c r="N10"/>
  <c r="N7"/>
  <c r="X8"/>
  <c r="AQ8"/>
  <c r="N8"/>
  <c r="X9"/>
  <c r="X7"/>
  <c r="H14" i="7"/>
  <c r="G14"/>
  <c r="H15"/>
  <c r="G15"/>
  <c r="H13"/>
  <c r="G13"/>
  <c r="M14" i="1"/>
  <c r="M12"/>
  <c r="T13"/>
  <c r="T11"/>
  <c r="U13"/>
  <c r="U11"/>
  <c r="E14" i="10"/>
  <c r="V13" i="1" s="1"/>
  <c r="E12" i="10"/>
  <c r="V11" i="1" s="1"/>
  <c r="F15" i="10"/>
  <c r="F14"/>
  <c r="F13"/>
  <c r="F12"/>
  <c r="W14" i="1"/>
  <c r="W12"/>
  <c r="Z14"/>
  <c r="Z12"/>
  <c r="AF14"/>
  <c r="AI14" s="1"/>
  <c r="AF12"/>
  <c r="AI12" s="1"/>
  <c r="H12" i="7"/>
  <c r="G12"/>
  <c r="M13" i="1"/>
  <c r="M11"/>
  <c r="T14"/>
  <c r="T12"/>
  <c r="U14"/>
  <c r="U12"/>
  <c r="E15" i="10"/>
  <c r="V14" i="1" s="1"/>
  <c r="E13" i="10"/>
  <c r="V12" i="1" s="1"/>
  <c r="W13"/>
  <c r="W11"/>
  <c r="Z13"/>
  <c r="Z11"/>
  <c r="AF13"/>
  <c r="AI13" s="1"/>
  <c r="AF11"/>
  <c r="AI11" s="1"/>
  <c r="H11" i="7"/>
  <c r="G11"/>
  <c r="H9"/>
  <c r="G9"/>
  <c r="M10" i="1"/>
  <c r="M8"/>
  <c r="T9"/>
  <c r="T7"/>
  <c r="U9"/>
  <c r="U7"/>
  <c r="E10" i="10"/>
  <c r="V9" i="1" s="1"/>
  <c r="E8" i="10"/>
  <c r="V7" i="1" s="1"/>
  <c r="F11" i="10"/>
  <c r="F10"/>
  <c r="F9"/>
  <c r="F8"/>
  <c r="W9" i="1"/>
  <c r="W7"/>
  <c r="Z9"/>
  <c r="Z7"/>
  <c r="AF9"/>
  <c r="AI9" s="1"/>
  <c r="AF7"/>
  <c r="AI7" s="1"/>
  <c r="H10" i="7"/>
  <c r="G10"/>
  <c r="H8"/>
  <c r="G8"/>
  <c r="M9" i="1"/>
  <c r="M7"/>
  <c r="E9" i="9"/>
  <c r="T10" i="1"/>
  <c r="T8"/>
  <c r="U10"/>
  <c r="U8"/>
  <c r="E11" i="10"/>
  <c r="V10" i="1" s="1"/>
  <c r="E9" i="10"/>
  <c r="V8" i="1" s="1"/>
  <c r="W10"/>
  <c r="W8"/>
  <c r="Z10"/>
  <c r="Z8"/>
  <c r="AF10"/>
  <c r="AI10" s="1"/>
  <c r="AF8"/>
  <c r="AI8" s="1"/>
  <c r="H24" i="10" l="1"/>
  <c r="H23"/>
  <c r="H27"/>
  <c r="H22"/>
  <c r="H26"/>
  <c r="H25"/>
  <c r="E11" i="9"/>
  <c r="F10"/>
  <c r="K10" s="1"/>
  <c r="E10"/>
  <c r="F11"/>
  <c r="K11" s="1"/>
  <c r="F9"/>
  <c r="K9" s="1"/>
  <c r="AM18" i="1"/>
  <c r="AM17"/>
  <c r="AM19"/>
  <c r="AM16"/>
  <c r="F17" i="7"/>
  <c r="G17" i="10"/>
  <c r="H17" s="1"/>
  <c r="F20" i="7"/>
  <c r="G20" i="10"/>
  <c r="H20" s="1"/>
  <c r="F19" i="7"/>
  <c r="G19" i="10"/>
  <c r="H19" s="1"/>
  <c r="F18" i="7"/>
  <c r="G18" i="10"/>
  <c r="H18" s="1"/>
  <c r="AE6" i="1"/>
  <c r="F8" i="9" l="1"/>
  <c r="K8" s="1"/>
  <c r="E8"/>
  <c r="D4" i="7" l="1"/>
  <c r="C4" i="9"/>
  <c r="C4" i="10"/>
  <c r="J7" i="1"/>
  <c r="I8" i="10" s="1"/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6"/>
  <c r="I7" i="10" s="1"/>
  <c r="AQ7" i="1" l="1"/>
  <c r="H26" i="9"/>
  <c r="I26" i="10"/>
  <c r="I26" i="2"/>
  <c r="H24" i="9"/>
  <c r="I24" i="10"/>
  <c r="I24" i="2"/>
  <c r="H22" i="9"/>
  <c r="I22" i="10"/>
  <c r="I22" i="2"/>
  <c r="I27" i="7"/>
  <c r="I27" i="10"/>
  <c r="I27" i="2"/>
  <c r="I25" i="7"/>
  <c r="I25" i="10"/>
  <c r="I25" i="2"/>
  <c r="I23" i="7"/>
  <c r="I23" i="10"/>
  <c r="I23" i="2"/>
  <c r="I21" i="7"/>
  <c r="I21" i="10"/>
  <c r="I21" i="2"/>
  <c r="I19" i="7"/>
  <c r="I19" i="10"/>
  <c r="I19" i="2"/>
  <c r="H20" i="9"/>
  <c r="I20" i="10"/>
  <c r="I20" i="2"/>
  <c r="H18" i="9"/>
  <c r="I18" i="10"/>
  <c r="I18" i="2"/>
  <c r="I17" i="7"/>
  <c r="I17" i="10"/>
  <c r="I17" i="2"/>
  <c r="I16"/>
  <c r="I16" i="10"/>
  <c r="I12" i="2"/>
  <c r="I12" i="10"/>
  <c r="I10"/>
  <c r="I14" i="2"/>
  <c r="I14" i="10"/>
  <c r="I15"/>
  <c r="I15" i="2"/>
  <c r="I13" i="10"/>
  <c r="I13" i="2"/>
  <c r="I11" i="10"/>
  <c r="I11" i="2"/>
  <c r="I9" i="10"/>
  <c r="H16" i="9"/>
  <c r="H14"/>
  <c r="H12"/>
  <c r="H10"/>
  <c r="I15" i="7"/>
  <c r="I13"/>
  <c r="I11"/>
  <c r="I9"/>
  <c r="I8"/>
  <c r="H7" i="9"/>
  <c r="I7" i="7"/>
  <c r="H27" i="9"/>
  <c r="H25"/>
  <c r="H23"/>
  <c r="H21"/>
  <c r="H19"/>
  <c r="H17"/>
  <c r="H15"/>
  <c r="H13"/>
  <c r="H11"/>
  <c r="H8"/>
  <c r="I26" i="7"/>
  <c r="I24"/>
  <c r="I22"/>
  <c r="I20"/>
  <c r="I18"/>
  <c r="I16"/>
  <c r="I14"/>
  <c r="I12"/>
  <c r="I10"/>
  <c r="H9" i="9"/>
  <c r="R6" i="1" l="1"/>
  <c r="G7" i="9"/>
  <c r="C7"/>
  <c r="C7" i="7"/>
  <c r="C7" i="10"/>
  <c r="L21" i="1"/>
  <c r="A34" i="9"/>
  <c r="A32"/>
  <c r="B35" i="7"/>
  <c r="B32" i="10"/>
  <c r="B30"/>
  <c r="AM15" i="1"/>
  <c r="E7" i="7"/>
  <c r="D7"/>
  <c r="K6" i="1"/>
  <c r="G27" i="7"/>
  <c r="B7" i="10"/>
  <c r="A7"/>
  <c r="B7" i="9"/>
  <c r="A7"/>
  <c r="B7" i="7"/>
  <c r="A7"/>
  <c r="P6" i="1" l="1"/>
  <c r="P7" i="9" s="1"/>
  <c r="AO6" i="1"/>
  <c r="AO30" s="1"/>
  <c r="AQ6"/>
  <c r="AG6"/>
  <c r="AG30" s="1"/>
  <c r="H28" i="10" s="1"/>
  <c r="AM14" i="1"/>
  <c r="Y14"/>
  <c r="AM12"/>
  <c r="Y12"/>
  <c r="AM10"/>
  <c r="Y10"/>
  <c r="AM13"/>
  <c r="Y13"/>
  <c r="AM11"/>
  <c r="Y11"/>
  <c r="AM8"/>
  <c r="Y8"/>
  <c r="W6"/>
  <c r="AF6"/>
  <c r="AI6" s="1"/>
  <c r="X6"/>
  <c r="U6"/>
  <c r="AM9"/>
  <c r="Y9"/>
  <c r="AM7"/>
  <c r="Y7"/>
  <c r="AJ25"/>
  <c r="AB25"/>
  <c r="AJ23"/>
  <c r="AB23"/>
  <c r="AJ21"/>
  <c r="AB21"/>
  <c r="AJ26"/>
  <c r="AC26"/>
  <c r="AJ24"/>
  <c r="AB24"/>
  <c r="AJ22"/>
  <c r="AJ20"/>
  <c r="T6"/>
  <c r="Z6"/>
  <c r="F7" i="10"/>
  <c r="M6" i="1"/>
  <c r="E7" i="10"/>
  <c r="V6" i="1" s="1"/>
  <c r="V30" s="1"/>
  <c r="H29" i="10" s="1"/>
  <c r="H7" i="7"/>
  <c r="N6" i="1"/>
  <c r="O6"/>
  <c r="O25"/>
  <c r="O23"/>
  <c r="O21"/>
  <c r="O19"/>
  <c r="O17"/>
  <c r="O15"/>
  <c r="F16" i="7" s="1"/>
  <c r="O13" i="1"/>
  <c r="O11"/>
  <c r="O9"/>
  <c r="O7"/>
  <c r="G7" i="7"/>
  <c r="O26" i="1"/>
  <c r="O24"/>
  <c r="O22"/>
  <c r="O20"/>
  <c r="G21" i="10" s="1"/>
  <c r="H21" s="1"/>
  <c r="O18" i="1"/>
  <c r="O16"/>
  <c r="O14"/>
  <c r="O12"/>
  <c r="O10"/>
  <c r="O8"/>
  <c r="Q6" l="1"/>
  <c r="G16" i="10"/>
  <c r="H16" s="1"/>
  <c r="AQ30" i="1"/>
  <c r="AP32" s="1"/>
  <c r="H32" s="1"/>
  <c r="G14" i="10"/>
  <c r="H14" s="1"/>
  <c r="F14" i="7"/>
  <c r="AK23" i="1"/>
  <c r="AB22"/>
  <c r="AK24"/>
  <c r="AB26"/>
  <c r="AA26"/>
  <c r="AK21"/>
  <c r="AK25"/>
  <c r="AK20"/>
  <c r="AK22"/>
  <c r="AK26"/>
  <c r="Y6"/>
  <c r="AA6" s="1"/>
  <c r="AJ6"/>
  <c r="AK6" s="1"/>
  <c r="AJ10"/>
  <c r="AK10" s="1"/>
  <c r="AJ12"/>
  <c r="AK12" s="1"/>
  <c r="AJ14"/>
  <c r="AK14" s="1"/>
  <c r="AJ16"/>
  <c r="AK16" s="1"/>
  <c r="AJ18"/>
  <c r="AK18" s="1"/>
  <c r="AJ7"/>
  <c r="AK7" s="1"/>
  <c r="AJ9"/>
  <c r="AK9" s="1"/>
  <c r="AJ8"/>
  <c r="AK8" s="1"/>
  <c r="AJ11"/>
  <c r="AK11" s="1"/>
  <c r="AJ13"/>
  <c r="AK13" s="1"/>
  <c r="AJ15"/>
  <c r="AK15" s="1"/>
  <c r="AJ17"/>
  <c r="AK17" s="1"/>
  <c r="AJ19"/>
  <c r="AK19" s="1"/>
  <c r="AC7"/>
  <c r="AC8"/>
  <c r="AC21"/>
  <c r="AA21"/>
  <c r="AC23"/>
  <c r="AA23"/>
  <c r="AC25"/>
  <c r="AA25"/>
  <c r="AC22"/>
  <c r="AA22"/>
  <c r="AC24"/>
  <c r="AA24"/>
  <c r="AC18"/>
  <c r="AB18"/>
  <c r="AC20"/>
  <c r="AB20"/>
  <c r="AC17"/>
  <c r="AB17"/>
  <c r="AC19"/>
  <c r="AB19"/>
  <c r="AA18"/>
  <c r="AA20"/>
  <c r="AA17"/>
  <c r="AA19"/>
  <c r="AC10"/>
  <c r="AB10"/>
  <c r="AC12"/>
  <c r="AB12"/>
  <c r="AC14"/>
  <c r="AB14"/>
  <c r="AC16"/>
  <c r="AB16"/>
  <c r="AC9"/>
  <c r="AB9"/>
  <c r="AC11"/>
  <c r="AB11"/>
  <c r="AC13"/>
  <c r="AB13"/>
  <c r="AC15"/>
  <c r="AB15"/>
  <c r="AA10"/>
  <c r="AA12"/>
  <c r="AA14"/>
  <c r="AA16"/>
  <c r="AA9"/>
  <c r="AA11"/>
  <c r="AA13"/>
  <c r="AA15"/>
  <c r="AB8"/>
  <c r="AB7"/>
  <c r="S31"/>
  <c r="AB6"/>
  <c r="G7" i="10"/>
  <c r="H7" s="1"/>
  <c r="E7" i="9" l="1"/>
  <c r="F7"/>
  <c r="K7" s="1"/>
  <c r="AM6" i="1"/>
  <c r="AM30" s="1"/>
  <c r="G11" i="10"/>
  <c r="H11" s="1"/>
  <c r="F11" i="7"/>
  <c r="G15" i="10"/>
  <c r="H15" s="1"/>
  <c r="F15" i="7"/>
  <c r="F12"/>
  <c r="G12" i="10"/>
  <c r="H12" s="1"/>
  <c r="F13" i="7"/>
  <c r="G13" i="10"/>
  <c r="H13" s="1"/>
  <c r="G10"/>
  <c r="H10" s="1"/>
  <c r="F10" i="7"/>
  <c r="G9" i="10"/>
  <c r="H9" s="1"/>
  <c r="F9" i="7"/>
  <c r="G8" i="10"/>
  <c r="H8" s="1"/>
  <c r="F8" i="7"/>
  <c r="AA7" i="1"/>
  <c r="AA8"/>
  <c r="AK30"/>
  <c r="AB30"/>
  <c r="AC6"/>
  <c r="AC30" s="1"/>
  <c r="F7" i="7"/>
  <c r="AA30" i="1" l="1"/>
</calcChain>
</file>

<file path=xl/sharedStrings.xml><?xml version="1.0" encoding="utf-8"?>
<sst xmlns="http://schemas.openxmlformats.org/spreadsheetml/2006/main" count="303" uniqueCount="219">
  <si>
    <t>Тип клапана</t>
  </si>
  <si>
    <t>Размер</t>
  </si>
  <si>
    <t>H</t>
  </si>
  <si>
    <t>b</t>
  </si>
  <si>
    <t>Заказ №</t>
  </si>
  <si>
    <t>Кол-во</t>
  </si>
  <si>
    <t>кол-во</t>
  </si>
  <si>
    <t>L</t>
  </si>
  <si>
    <t>№ б.з/ заказа</t>
  </si>
  <si>
    <t>Длина</t>
  </si>
  <si>
    <t>Ширина</t>
  </si>
  <si>
    <t>Лента уплотнительная</t>
  </si>
  <si>
    <r>
      <rPr>
        <sz val="20"/>
        <color theme="1"/>
        <rFont val="Calibri"/>
        <family val="2"/>
        <charset val="204"/>
        <scheme val="minor"/>
      </rPr>
      <t>Упор</t>
    </r>
    <r>
      <rPr>
        <sz val="18"/>
        <color theme="1"/>
        <rFont val="Calibri"/>
        <family val="2"/>
        <charset val="204"/>
        <scheme val="minor"/>
      </rPr>
      <t xml:space="preserve">                        ОЦ 0,7</t>
    </r>
  </si>
  <si>
    <t>Регуляр</t>
  </si>
  <si>
    <t>Кожух</t>
  </si>
  <si>
    <t>Шаг</t>
  </si>
  <si>
    <t xml:space="preserve">Кожух                        ОЦ 0,7 </t>
  </si>
  <si>
    <t>мм</t>
  </si>
  <si>
    <t>шаг регуляр</t>
  </si>
  <si>
    <t>Шаг герм П</t>
  </si>
  <si>
    <t>Шаг герм С</t>
  </si>
  <si>
    <t>A</t>
  </si>
  <si>
    <t xml:space="preserve">Развертка </t>
  </si>
  <si>
    <t xml:space="preserve">Гермик </t>
  </si>
  <si>
    <t>С</t>
  </si>
  <si>
    <t>П</t>
  </si>
  <si>
    <t>Л</t>
  </si>
  <si>
    <t>Н</t>
  </si>
  <si>
    <t>В</t>
  </si>
  <si>
    <t>сечение клапана</t>
  </si>
  <si>
    <t>Срок</t>
  </si>
  <si>
    <t>Ножницы</t>
  </si>
  <si>
    <t>Материал</t>
  </si>
  <si>
    <t>Выполнил</t>
  </si>
  <si>
    <t>______________________________________</t>
  </si>
  <si>
    <t>_____________________________</t>
  </si>
  <si>
    <t>-</t>
  </si>
  <si>
    <t>нерж</t>
  </si>
  <si>
    <t>оц</t>
  </si>
  <si>
    <t>взр</t>
  </si>
  <si>
    <t>краш</t>
  </si>
  <si>
    <t>стенка гермик</t>
  </si>
  <si>
    <t>кожух гермик</t>
  </si>
  <si>
    <t>Лента</t>
  </si>
  <si>
    <t>регуляр (без лопатки)</t>
  </si>
  <si>
    <t>Лопатка регуляр</t>
  </si>
  <si>
    <t>пробивка отв в пружине</t>
  </si>
  <si>
    <t>Шторка</t>
  </si>
  <si>
    <t>Сумма</t>
  </si>
  <si>
    <t>Вырубка</t>
  </si>
  <si>
    <t>____________________________</t>
  </si>
  <si>
    <t>Гибка</t>
  </si>
  <si>
    <t>часа</t>
  </si>
  <si>
    <t>Трудоем для верт стен</t>
  </si>
  <si>
    <t>Трудоем для гор стен</t>
  </si>
  <si>
    <t>Ст гор</t>
  </si>
  <si>
    <t>лента</t>
  </si>
  <si>
    <t>упор</t>
  </si>
  <si>
    <t>Углоруб</t>
  </si>
  <si>
    <t>материал</t>
  </si>
  <si>
    <t xml:space="preserve">Накладная№ 
</t>
  </si>
  <si>
    <t>Резка лопатки</t>
  </si>
  <si>
    <t>Сборка рег</t>
  </si>
  <si>
    <t>сборка</t>
  </si>
  <si>
    <t>сборка герм</t>
  </si>
  <si>
    <t>Мастер_______________________________</t>
  </si>
  <si>
    <t>Рубка</t>
  </si>
  <si>
    <t>ч.</t>
  </si>
  <si>
    <t xml:space="preserve">Накладная№ </t>
  </si>
  <si>
    <t>Талон для отрыва диспетчеру</t>
  </si>
  <si>
    <t>Сопророводительная №</t>
  </si>
  <si>
    <t>Задание выполнено полностью</t>
  </si>
  <si>
    <t>_________________</t>
  </si>
  <si>
    <t>Гибка        _________________</t>
  </si>
  <si>
    <t>Мастер     _________________</t>
  </si>
  <si>
    <t>675X1135</t>
  </si>
  <si>
    <t>1000X600</t>
  </si>
  <si>
    <t>1000X1000</t>
  </si>
  <si>
    <t>1000X500</t>
  </si>
  <si>
    <t>1000X800</t>
  </si>
  <si>
    <t>100X100</t>
  </si>
  <si>
    <t>100X150</t>
  </si>
  <si>
    <t>100X200</t>
  </si>
  <si>
    <t>1075X1135</t>
  </si>
  <si>
    <t>1075X810</t>
  </si>
  <si>
    <t>1075X837</t>
  </si>
  <si>
    <t>1100X1000</t>
  </si>
  <si>
    <t>1110X1125</t>
  </si>
  <si>
    <t>1155X500</t>
  </si>
  <si>
    <t>1180X625</t>
  </si>
  <si>
    <t>1200X1000</t>
  </si>
  <si>
    <t>1200X1100_2</t>
  </si>
  <si>
    <t>1200X600</t>
  </si>
  <si>
    <t>150X100</t>
  </si>
  <si>
    <t>150X150</t>
  </si>
  <si>
    <t>150X200</t>
  </si>
  <si>
    <t>150X400</t>
  </si>
  <si>
    <t>160X160</t>
  </si>
  <si>
    <t>200X100</t>
  </si>
  <si>
    <t>200X150</t>
  </si>
  <si>
    <t>200X200</t>
  </si>
  <si>
    <t>200X250</t>
  </si>
  <si>
    <t>200X300</t>
  </si>
  <si>
    <t>200X400</t>
  </si>
  <si>
    <t>200X500</t>
  </si>
  <si>
    <t>205X205</t>
  </si>
  <si>
    <t>210X210</t>
  </si>
  <si>
    <t>250X100</t>
  </si>
  <si>
    <t>250X150</t>
  </si>
  <si>
    <t>250X200</t>
  </si>
  <si>
    <t>250X250</t>
  </si>
  <si>
    <t>250X300</t>
  </si>
  <si>
    <t>250X400</t>
  </si>
  <si>
    <t>288X288</t>
  </si>
  <si>
    <t>300X150</t>
  </si>
  <si>
    <t>300X200</t>
  </si>
  <si>
    <t>300X300</t>
  </si>
  <si>
    <t>300X400</t>
  </si>
  <si>
    <t>300X450</t>
  </si>
  <si>
    <t>300X500</t>
  </si>
  <si>
    <t>310X865</t>
  </si>
  <si>
    <t>320X320</t>
  </si>
  <si>
    <t>325X1175</t>
  </si>
  <si>
    <t>325X300</t>
  </si>
  <si>
    <t>325X575</t>
  </si>
  <si>
    <t>325X575_EXP</t>
  </si>
  <si>
    <t>325X875</t>
  </si>
  <si>
    <t>350X800</t>
  </si>
  <si>
    <t>400X1000</t>
  </si>
  <si>
    <t>400X200</t>
  </si>
  <si>
    <t>400X250</t>
  </si>
  <si>
    <t>400X300</t>
  </si>
  <si>
    <t>400X400</t>
  </si>
  <si>
    <t>400X500</t>
  </si>
  <si>
    <t>400X600</t>
  </si>
  <si>
    <t>400X700</t>
  </si>
  <si>
    <t>400X800</t>
  </si>
  <si>
    <t>410X410</t>
  </si>
  <si>
    <t>435X575</t>
  </si>
  <si>
    <t>435X875</t>
  </si>
  <si>
    <t>450X500</t>
  </si>
  <si>
    <t>475X1135</t>
  </si>
  <si>
    <t>475X875</t>
  </si>
  <si>
    <t>500X1000</t>
  </si>
  <si>
    <t>500X1155</t>
  </si>
  <si>
    <t>500X250</t>
  </si>
  <si>
    <t>500X400</t>
  </si>
  <si>
    <t>500X500</t>
  </si>
  <si>
    <t>500X700</t>
  </si>
  <si>
    <t>500X800</t>
  </si>
  <si>
    <t>525X1175</t>
  </si>
  <si>
    <t>525X1475</t>
  </si>
  <si>
    <t>525X575</t>
  </si>
  <si>
    <t>525X875</t>
  </si>
  <si>
    <t>575X325</t>
  </si>
  <si>
    <t>575X475</t>
  </si>
  <si>
    <t>575X525</t>
  </si>
  <si>
    <t>600X1000</t>
  </si>
  <si>
    <t>600X400</t>
  </si>
  <si>
    <t>600X500</t>
  </si>
  <si>
    <t>600X600</t>
  </si>
  <si>
    <t>600X800</t>
  </si>
  <si>
    <t>625X1135</t>
  </si>
  <si>
    <t>625X837</t>
  </si>
  <si>
    <t>640X500</t>
  </si>
  <si>
    <t>650X650</t>
  </si>
  <si>
    <t>675X325</t>
  </si>
  <si>
    <t>700X1017</t>
  </si>
  <si>
    <t>700X400</t>
  </si>
  <si>
    <t>700X700</t>
  </si>
  <si>
    <t>700X952</t>
  </si>
  <si>
    <t>765X1135</t>
  </si>
  <si>
    <t>800X1000</t>
  </si>
  <si>
    <t>800X350</t>
  </si>
  <si>
    <t>800X400</t>
  </si>
  <si>
    <t>800X500</t>
  </si>
  <si>
    <t>800X600</t>
  </si>
  <si>
    <t>800X700</t>
  </si>
  <si>
    <t>800X800</t>
  </si>
  <si>
    <t>800X900</t>
  </si>
  <si>
    <t>815X875</t>
  </si>
  <si>
    <t>875X325</t>
  </si>
  <si>
    <t>875X475</t>
  </si>
  <si>
    <t>900X1350</t>
  </si>
  <si>
    <t>900X1350_2</t>
  </si>
  <si>
    <t>925X475</t>
  </si>
  <si>
    <t>превый столбец-сечение</t>
  </si>
  <si>
    <t>второй столбец-время</t>
  </si>
  <si>
    <t>Примечание</t>
  </si>
  <si>
    <t>Талон для отрыва диспетчеру (ВОЗДУШНЫЕ КЛАПАНЫ)</t>
  </si>
  <si>
    <t>Трудоемкость</t>
  </si>
  <si>
    <t>Рубка н/ч</t>
  </si>
  <si>
    <t>Гибка н/ч</t>
  </si>
  <si>
    <t>Ножницы-Гибка</t>
  </si>
  <si>
    <r>
      <t xml:space="preserve">Лента уплотнительная </t>
    </r>
    <r>
      <rPr>
        <b/>
        <sz val="14"/>
        <rFont val="Calibri"/>
        <family val="2"/>
        <charset val="204"/>
        <scheme val="minor"/>
      </rPr>
      <t>ВГ 050.00.00.004</t>
    </r>
  </si>
  <si>
    <t>_____________(дата)</t>
  </si>
  <si>
    <t>Кожух Гермик-С   ВМ 0113.00.00.006</t>
  </si>
  <si>
    <t>Упор (шторка) Гермик ВГ 111.00.00.003</t>
  </si>
  <si>
    <t>УВК</t>
  </si>
  <si>
    <t>Пила Gamma</t>
  </si>
  <si>
    <t>Резка</t>
  </si>
  <si>
    <t>резка</t>
  </si>
  <si>
    <t xml:space="preserve"> Профиль 99039</t>
  </si>
  <si>
    <t xml:space="preserve"> Профиль 99038</t>
  </si>
  <si>
    <t>Профиль 200165</t>
  </si>
  <si>
    <t>____________(дата)</t>
  </si>
  <si>
    <t>Лопатка,</t>
  </si>
  <si>
    <t>Стенка гориз.</t>
  </si>
  <si>
    <t xml:space="preserve">ТЕКИ 0150.00.004 Стенка вертикальная                                                                                    ТЕКИ 0150.00.001 Стенка горизонтальная                                                                                                  ТЕКИ 0150.00.002 Лопатка                                                    </t>
  </si>
  <si>
    <t xml:space="preserve">Стенка вертикальная   </t>
  </si>
  <si>
    <t>Кол-во выполненных деталей</t>
  </si>
  <si>
    <t>Подпись исполнителя</t>
  </si>
  <si>
    <t>52(5)-1(3)</t>
  </si>
  <si>
    <t xml:space="preserve"> Профиль 99040</t>
  </si>
  <si>
    <t>Профиль 200166</t>
  </si>
  <si>
    <t xml:space="preserve">Накладная № 
</t>
  </si>
  <si>
    <t>25(1)-26(2)</t>
  </si>
  <si>
    <t xml:space="preserve"> Профиль 99041</t>
  </si>
  <si>
    <t>Профиль 200167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</si>
</sst>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8" xfId="0" applyBorder="1"/>
    <xf numFmtId="0" fontId="0" fillId="0" borderId="0" xfId="0" applyAlignment="1">
      <alignment horizontal="center"/>
    </xf>
    <xf numFmtId="0" fontId="0" fillId="0" borderId="1" xfId="0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4" fontId="6" fillId="0" borderId="0" xfId="0" applyNumberFormat="1" applyFont="1" applyAlignment="1">
      <alignment wrapText="1"/>
    </xf>
    <xf numFmtId="0" fontId="0" fillId="0" borderId="18" xfId="0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6" fillId="0" borderId="0" xfId="0" applyNumberFormat="1" applyFont="1" applyAlignment="1" applyProtection="1">
      <alignment horizontal="center"/>
      <protection locked="0"/>
    </xf>
    <xf numFmtId="0" fontId="8" fillId="0" borderId="18" xfId="0" applyFont="1" applyBorder="1" applyAlignment="1">
      <alignment horizontal="center" wrapText="1"/>
    </xf>
    <xf numFmtId="0" fontId="8" fillId="0" borderId="18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textRotation="90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34"/>
  <sheetViews>
    <sheetView tabSelected="1" workbookViewId="0">
      <selection activeCell="B6" sqref="B6:H8"/>
    </sheetView>
  </sheetViews>
  <sheetFormatPr defaultRowHeight="15"/>
  <cols>
    <col min="1" max="1" width="4.42578125" customWidth="1"/>
    <col min="2" max="2" width="11.140625" customWidth="1"/>
    <col min="3" max="3" width="11" customWidth="1"/>
    <col min="4" max="5" width="3.85546875" customWidth="1"/>
    <col min="6" max="6" width="13.28515625" customWidth="1"/>
    <col min="9" max="9" width="10.7109375" customWidth="1"/>
    <col min="10" max="10" width="4.85546875" customWidth="1"/>
    <col min="11" max="11" width="11.5703125" customWidth="1"/>
    <col min="25" max="25" width="9.7109375" customWidth="1"/>
    <col min="26" max="26" width="8.7109375" customWidth="1"/>
  </cols>
  <sheetData>
    <row r="1" spans="1:45">
      <c r="F1" s="79" t="s">
        <v>1</v>
      </c>
      <c r="G1" s="79"/>
      <c r="K1" s="1" t="s">
        <v>23</v>
      </c>
      <c r="L1" s="1" t="s">
        <v>24</v>
      </c>
      <c r="M1">
        <v>1</v>
      </c>
      <c r="N1" s="42" t="s">
        <v>38</v>
      </c>
      <c r="AE1">
        <v>3.3000000000000002E-2</v>
      </c>
      <c r="AF1">
        <v>2.1999999999999999E-2</v>
      </c>
      <c r="AG1">
        <v>3.3500000000000002E-2</v>
      </c>
    </row>
    <row r="2" spans="1:45">
      <c r="F2" s="8"/>
      <c r="G2" s="8"/>
      <c r="K2" s="1" t="s">
        <v>13</v>
      </c>
      <c r="L2" s="1" t="s">
        <v>36</v>
      </c>
      <c r="M2">
        <v>2</v>
      </c>
      <c r="N2" s="42" t="s">
        <v>37</v>
      </c>
      <c r="V2">
        <v>2.8000000000000001E-2</v>
      </c>
      <c r="AE2">
        <v>3.3000000000000002E-2</v>
      </c>
      <c r="AF2">
        <v>1.7000000000000001E-2</v>
      </c>
      <c r="AG2">
        <v>3.3500000000000002E-2</v>
      </c>
    </row>
    <row r="3" spans="1:45">
      <c r="F3" s="10"/>
      <c r="G3" s="10"/>
      <c r="K3" s="1" t="s">
        <v>23</v>
      </c>
      <c r="L3" s="1" t="s">
        <v>25</v>
      </c>
      <c r="M3">
        <v>3</v>
      </c>
      <c r="N3" s="42" t="s">
        <v>39</v>
      </c>
      <c r="V3">
        <v>2.1999999999999999E-2</v>
      </c>
      <c r="AE3">
        <v>2.1999999999999999E-2</v>
      </c>
      <c r="AF3">
        <v>1.4E-2</v>
      </c>
      <c r="AG3">
        <v>3.3500000000000002E-2</v>
      </c>
      <c r="AM3" t="s">
        <v>61</v>
      </c>
      <c r="AO3" t="s">
        <v>62</v>
      </c>
      <c r="AQ3" t="s">
        <v>64</v>
      </c>
    </row>
    <row r="4" spans="1:45" ht="21">
      <c r="B4" s="81" t="s">
        <v>215</v>
      </c>
      <c r="C4" s="82"/>
      <c r="F4" s="53"/>
      <c r="G4" s="10"/>
      <c r="K4" s="1" t="s">
        <v>13</v>
      </c>
      <c r="L4" s="1" t="s">
        <v>26</v>
      </c>
      <c r="M4">
        <v>4</v>
      </c>
      <c r="N4" s="42" t="s">
        <v>40</v>
      </c>
      <c r="T4">
        <v>2.5000000000000001E-2</v>
      </c>
      <c r="U4">
        <v>2.5000000000000001E-2</v>
      </c>
      <c r="V4">
        <v>1.7000000000000001E-2</v>
      </c>
      <c r="W4">
        <v>0.13600000000000001</v>
      </c>
      <c r="X4">
        <v>0.05</v>
      </c>
      <c r="Y4">
        <v>1.0999999999999999E-2</v>
      </c>
      <c r="Z4">
        <v>8.0000000000000002E-3</v>
      </c>
      <c r="AE4">
        <v>2.1999999999999999E-2</v>
      </c>
      <c r="AF4">
        <v>1.4E-2</v>
      </c>
      <c r="AG4">
        <v>3.3500000000000002E-2</v>
      </c>
      <c r="AM4">
        <v>1.4999999999999999E-2</v>
      </c>
    </row>
    <row r="5" spans="1:45" ht="46.5" customHeight="1">
      <c r="A5" s="3"/>
      <c r="B5" s="55" t="s">
        <v>4</v>
      </c>
      <c r="C5" s="55" t="s">
        <v>0</v>
      </c>
      <c r="D5" s="55"/>
      <c r="E5" s="55"/>
      <c r="F5" s="55" t="s">
        <v>2</v>
      </c>
      <c r="G5" s="55" t="s">
        <v>3</v>
      </c>
      <c r="H5" s="55" t="s">
        <v>5</v>
      </c>
      <c r="I5" s="6"/>
      <c r="J5" s="3"/>
      <c r="K5" s="3"/>
      <c r="L5" s="3"/>
      <c r="M5" s="3" t="s">
        <v>20</v>
      </c>
      <c r="N5" s="3" t="s">
        <v>19</v>
      </c>
      <c r="O5" s="3" t="s">
        <v>18</v>
      </c>
      <c r="P5" s="3" t="s">
        <v>22</v>
      </c>
      <c r="T5" s="32" t="s">
        <v>41</v>
      </c>
      <c r="U5" s="32" t="s">
        <v>42</v>
      </c>
      <c r="V5" s="32" t="s">
        <v>43</v>
      </c>
      <c r="W5" s="32" t="s">
        <v>44</v>
      </c>
      <c r="X5" s="32" t="s">
        <v>45</v>
      </c>
      <c r="Y5" s="32" t="s">
        <v>46</v>
      </c>
      <c r="Z5" s="32" t="s">
        <v>47</v>
      </c>
      <c r="AA5" s="32" t="s">
        <v>48</v>
      </c>
      <c r="AB5" s="32" t="s">
        <v>53</v>
      </c>
      <c r="AC5" s="32" t="s">
        <v>54</v>
      </c>
      <c r="AE5" s="32" t="s">
        <v>55</v>
      </c>
      <c r="AF5" s="32" t="s">
        <v>14</v>
      </c>
      <c r="AG5" s="32" t="s">
        <v>56</v>
      </c>
      <c r="AH5" s="32" t="s">
        <v>57</v>
      </c>
      <c r="AI5" s="32" t="s">
        <v>58</v>
      </c>
      <c r="AJ5" s="32" t="s">
        <v>59</v>
      </c>
      <c r="AK5" s="32"/>
      <c r="AL5" s="32"/>
      <c r="AM5" s="32"/>
    </row>
    <row r="6" spans="1:45" ht="30" customHeight="1">
      <c r="B6" s="50"/>
      <c r="C6" s="49"/>
      <c r="D6" s="49"/>
      <c r="E6" s="49"/>
      <c r="F6" s="50"/>
      <c r="G6" s="51"/>
      <c r="H6" s="50"/>
      <c r="I6" s="68"/>
      <c r="J6" s="29" t="str">
        <f t="shared" ref="J6:J26" si="0">IF(I6=$N$1,$M$1,IF(I6=$N$2,$M$2,IF(I6=$N$3,$M$3,IF(I6=$N$4,$M$4,"---"))))</f>
        <v>---</v>
      </c>
      <c r="K6">
        <f>IF(D6=$L$1,1,IF(D6=$L$2,2,IF(D6=$L$3,3,IF(D6=$L$4,4,0))))</f>
        <v>0</v>
      </c>
      <c r="M6" t="str">
        <f t="shared" ref="M6:M26" si="1">IF(K6=1,IF(F6=375,150,IF(F6=475,150,IF(F6=475,150,IF(F6=675,150,IF(F6=675,150,IF(F6=1115,150,140)))))),"---")</f>
        <v>---</v>
      </c>
      <c r="N6" t="str">
        <f t="shared" ref="N6:N26" si="2">IF(K6=3,IF(F6=375,150,IF(F6=475,150,IF(F6=675,150,140))),"---")</f>
        <v>---</v>
      </c>
      <c r="O6" s="10" t="str">
        <f>IF(K6=2,150,IF(K6=4,150,"---"))</f>
        <v>---</v>
      </c>
      <c r="P6" s="48" t="str">
        <f t="shared" ref="P6:P26" si="3">IF(K6=1,IF(AND(315=F6, G6=590),212,IF(AND(315=F6, G6=890),212,IF(AND(315=F6, G6=1190),212,IF(AND(315=F6, G6=1490),212,IF(AND(595=F6, G6=1727),232,IF(AND(320=F6, G6=567),232,IF(AND(595=F6, G6=1790),232,IF(AND(320=F6, G6=870),232,IF(AND(320=F6, G6=570),232,IF(AND(320=F6, G6=1170),232,IF(AND(315=F6, G6=570),212,252))))))))))),IF(K6=3,IF(AND(315=F6, G6=590),212,IF(AND(315=F6, G6=890),212,IF(AND(315=F6, G6=1190),212,IF(AND(315=F6, G6=1490),212,IF(AND(595=F6, G6=1727),232,IF(AND(320=F6, G6=567),232,IF(AND(595=F6, G6=1790),232,IF(AND(320=F6, G6=570),232,252)))))))),"---"))</f>
        <v>---</v>
      </c>
      <c r="Q6" s="14" t="str">
        <f t="shared" ref="Q6:Q27" si="4">IF(K6=1,IF(B6&lt;400000,252,P6),IF(K6=3,IF(B6&lt;400000,252,P6),"---"))</f>
        <v>---</v>
      </c>
      <c r="R6" s="22" t="str">
        <f>IF(C6=$K$1,1,IF(C6=$K$2,2,"---"))</f>
        <v>---</v>
      </c>
      <c r="S6" s="34"/>
      <c r="T6" s="29">
        <f t="shared" ref="T6:T26" si="5">IF(K6=$M$1,$T$4*H6*2,IF(K6=$M$3,$T$4*H6*2,0))</f>
        <v>0</v>
      </c>
      <c r="U6" s="29">
        <f t="shared" ref="U6:U26" si="6">IF(K6=$M$1,$U$4*H6*2,0)</f>
        <v>0</v>
      </c>
      <c r="V6" s="31">
        <f>IF(K6=4,0,IF((AND('Ножницы лента'!E7&gt;1000,'Ножницы лента'!E7&lt;2000)),'Исходные данные'!$V$3*'Исходные данные'!H6*2,IF('Ножницы лента'!E7&lt;1000,$V$4*2*H6,IF('Ножницы лента'!E7&gt;2000,$V$2*2*H6,"---"))))</f>
        <v>0</v>
      </c>
      <c r="W6" s="29">
        <f t="shared" ref="W6:W26" si="7">IF(K6=$M$2,$W$4*H6,IF(K6=$M$4,$W$4*H6,0))</f>
        <v>0</v>
      </c>
      <c r="X6" s="29">
        <f>IF(K6=$M$2,$X$4*H6*'Пила УВК'!#REF!,IF(K6=$M$4,$X$4*H6*'Пила УВК'!#REF!,0))</f>
        <v>0</v>
      </c>
      <c r="Y6" s="29">
        <f>IF(K6=4,0,IF($K$1=C6,'Пила УВК'!#REF!*H6*$Y$4*2,IF($K$2=C6,'Пила УВК'!#REF!*H6*$Y$4,0)))</f>
        <v>0</v>
      </c>
      <c r="Z6" s="29">
        <f t="shared" ref="Z6:Z26" si="8">IF(K6=$M$1,$Z$4*H6*2,IF(K6=$M$3,$Z$4*H6*2,0))</f>
        <v>0</v>
      </c>
      <c r="AA6" s="29">
        <f>IF(J6=2,(Z6+Y6+X6+W6+V6+U6+T6)*1.2,(Z6+Y6+X6+W6+V6+U6+T6))</f>
        <v>0</v>
      </c>
      <c r="AB6" s="31">
        <f>T6+U6+W6+X6</f>
        <v>0</v>
      </c>
      <c r="AC6" s="31">
        <f>T6+U6+V6+Y6+Z6</f>
        <v>0</v>
      </c>
      <c r="AE6" s="32">
        <f>IF(C6=$K$1,IF(((AND(G6&gt;0,G6&lt;500))),$AE$4*2*H6,IF(((AND(G6&gt;=500,G6&lt;1000))),$AE$3*2*H6,IF(((AND(G6&gt;=1000,G6&lt;1500))),$AE$2*2*H6,IF(((AND(G6&gt;=1500,G6&lt;2000))),$AE$1*2*H6,IF(((AND(G6&gt;=2000,G6&lt;2500))),0.048*2*H6,0))))),0)</f>
        <v>0</v>
      </c>
      <c r="AF6" s="32">
        <f t="shared" ref="AF6:AF26" si="9">IF(K6=$M$1,IF(((AND(G6&gt;0,G6&lt;500))),$AF$4*2*H6,IF(((AND(G6&gt;=500,G6&lt;1000))),$AF$3*2*H6,IF(((AND(G6&gt;=1000,G6&lt;1500))),$AF$2*2*H6,IF(((AND(G6&gt;=1500,G6&lt;2000))),$AF$1*2*H6,IF(((AND(G6&gt;=2000,G6&lt;2500))),0.048*2*H6,0))))),0)</f>
        <v>0</v>
      </c>
      <c r="AG6" s="32">
        <f t="shared" ref="AG6:AG26" si="10">IF(K6=4,0,$AG$4*2*H6)</f>
        <v>0</v>
      </c>
      <c r="AH6" s="32">
        <f>IF(C6=$K$1,IF(((AND(G6&gt;0,G6&lt;500))),0.014*2*H6,IF(((AND(G6&gt;=500,G6&lt;1000))),0.014*2*H6,IF(((AND(G6&gt;=1000,G6&lt;1500))),0.014*2*H6,IF(((AND(G6&gt;=1500,G6&lt;2000))),0.015*2*H6,IF(((AND(G6&gt;=2000,G6&lt;2500))),0.015*2*H6,0))))),0)</f>
        <v>0</v>
      </c>
      <c r="AI6" s="32">
        <f t="shared" ref="AI6:AI12" si="11">IF(AF6&gt;0,0.004*2*4*H6,0)</f>
        <v>0</v>
      </c>
      <c r="AJ6" s="32">
        <f t="shared" ref="AJ6:AJ26" si="12">IF(I6=$N$2,(AE6+AF6+AH6+AI6)*1.2,AE6+AF6+AH6+AI6)</f>
        <v>0</v>
      </c>
      <c r="AK6" s="32">
        <f>AJ6+AG6</f>
        <v>0</v>
      </c>
      <c r="AL6" s="32"/>
      <c r="AM6" s="32">
        <f>IF(K6=1,'Пила УВК'!M7*'Исходные данные'!$AM$4,IF(K6=3,'Пила УВК'!M7*'Исходные данные'!$AM$4,0))</f>
        <v>0</v>
      </c>
      <c r="AO6">
        <f>IF(K6=2,IF('Пила УВК'!#REF!=1,0.6*'Исходные данные'!H6,IF('Пила УВК'!#REF!=2,1.5*'Исходные данные'!H6,IF('Пила УВК'!#REF!=3,1.16*'Исходные данные'!H6,IF('Пила УВК'!#REF!=4,1.34*'Исходные данные'!H6,IF('Пила УВК'!#REF!=6,1.66*'Исходные данные'!H6,IF('Пила УВК'!#REF!=7,1.82*'Исходные данные'!H6,IF('Пила УВК'!#REF!=8,1.98*'Исходные данные'!H6,IF('Пила УВК'!#REF!=9,2.14*'Исходные данные'!H6,IF('Пила УВК'!#REF!=10,2.3*'Исходные данные'!H6,IF('Пила УВК'!#REF!=11,2.46*'Исходные данные'!H6,IF('Пила УВК'!#REF!=12,2.62*'Исходные данные'!H6,IF('Пила УВК'!#REF!=13,2.78*'Исходные данные'!H6,IF('Пила УВК'!#REF!=15,3.1*'Исходные данные'!H6,0))))))))))))),IF(K6=4,IF('Пила УВК'!#REF!=1,0.6*'Исходные данные'!H6,IF('Пила УВК'!#REF!=5,1.5*'Исходные данные'!H6,IF('Пила УВК'!#REF!=3,1.16*'Исходные данные'!H6,IF('Пила УВК'!#REF!=4,1.34*'Исходные данные'!H6,IF('Пила УВК'!#REF!=6,1.66*'Исходные данные'!H6,IF('Пила УВК'!#REF!=7,1.82*'Исходные данные'!H6,IF('Пила УВК'!#REF!=8,1.98*'Исходные данные'!H6,IF('Пила УВК'!#REF!=9,2.14*'Исходные данные'!H6,IF('Пила УВК'!#REF!=10,2.3*'Исходные данные'!H6,IF('Пила УВК'!#REF!=11,2.46*'Исходные данные'!H6,IF('Пила УВК'!#REF!=12,2.62*'Исходные данные'!H6,IF('Пила УВК'!#REF!=13,2.78*'Исходные данные'!H6,IF('Пила УВК'!#REF!=15,3.1*'Исходные данные'!H6,0))))))))))))),0))</f>
        <v>0</v>
      </c>
      <c r="AQ6">
        <f>IF(K6=1,IF('Пила УВК'!#REF!&lt;=2,H6*1.91,IF('Пила УВК'!#REF!&lt;=4,H6*2.06,IF('Пила УВК'!#REF!&lt;=5,H6*2.16,IF('Пила УВК'!#REF!&lt;=6,H6*2.35,IF('Пила УВК'!#REF!&lt;=7,H6*2.47,IF('Пила УВК'!#REF!&lt;=8,H6*2.51,IF('Пила УВК'!#REF!&lt;=10,H6*2.71,IF('Пила УВК'!#REF!&lt;=16,H6*4.49,IF('Пила УВК'!#REF!&lt;=20,H6*4.8,IF('Пила УВК'!#REF!&lt;=24,H6*5.11,IF('Пила УВК'!#REF!&lt;=32,H6*6.18,0))))))))))),IF(K6=3,IF('Пила УВК'!#REF!&lt;=2,H6*1.3,IF('Пила УВК'!#REF!&lt;=4,H6*1.45,IF('Пила УВК'!#REF!&lt;=5,H6*1.55,IF('Пила УВК'!#REF!&lt;=6,H6*1.74,IF('Пила УВК'!#REF!&lt;=7,H6*1.86,IF('Пила УВК'!#REF!&lt;=8,H6*1.9,IF('Пила УВК'!#REF!&lt;=10,H6*2.1,IF('Пила УВК'!#REF!&lt;=16,H6*3.27,IF('Пила УВК'!#REF!&lt;=20,H6*3.28,IF('Пила УВК'!#REF!&lt;=24,H6*3.89,IF('Пила УВК'!#REF!&lt;=32,H6*4.96,0))))))))))),0))</f>
        <v>0</v>
      </c>
      <c r="AS6">
        <f>IF(325&lt;F6&lt;600,1,0)</f>
        <v>0</v>
      </c>
    </row>
    <row r="7" spans="1:45">
      <c r="B7" s="50"/>
      <c r="C7" s="49"/>
      <c r="D7" s="49"/>
      <c r="E7" s="49"/>
      <c r="F7" s="50"/>
      <c r="G7" s="51"/>
      <c r="H7" s="50"/>
      <c r="I7" s="68"/>
      <c r="J7" s="29" t="str">
        <f t="shared" si="0"/>
        <v>---</v>
      </c>
      <c r="K7">
        <f>IF(D7=$L$1,1,IF(D7=$L$2,2,IF(D7=$L$3,3,IF(D7=$L$4,4,0))))</f>
        <v>0</v>
      </c>
      <c r="M7" t="str">
        <f t="shared" si="1"/>
        <v>---</v>
      </c>
      <c r="N7" t="str">
        <f t="shared" si="2"/>
        <v>---</v>
      </c>
      <c r="O7" s="10" t="str">
        <f t="shared" ref="O7:O26" si="13">IF(K7=2,150,IF(K7=4,150,"---"))</f>
        <v>---</v>
      </c>
      <c r="P7" s="40" t="str">
        <f t="shared" si="3"/>
        <v>---</v>
      </c>
      <c r="Q7" s="56" t="str">
        <f t="shared" si="4"/>
        <v>---</v>
      </c>
      <c r="R7" s="36" t="str">
        <f>IF(C7=$K$1,1,IF(C7=$K$2,2,"---"))</f>
        <v>---</v>
      </c>
      <c r="S7" s="34"/>
      <c r="T7" s="36">
        <f t="shared" si="5"/>
        <v>0</v>
      </c>
      <c r="U7" s="36">
        <f t="shared" si="6"/>
        <v>0</v>
      </c>
      <c r="V7" s="36">
        <f>IF(K7=4,0,IF((AND('Ножницы лента'!E8&gt;1000,'Ножницы лента'!E8&lt;2000)),'Исходные данные'!$V$3*'Исходные данные'!H7*2,IF('Ножницы лента'!E8&lt;1000,$V$4*2*H7,IF('Ножницы лента'!E8&gt;2000,$V$2*2*H7,"---"))))</f>
        <v>0</v>
      </c>
      <c r="W7" s="36">
        <f t="shared" si="7"/>
        <v>0</v>
      </c>
      <c r="X7" s="39">
        <f>IF(K7=$M$2,$X$4*H7*'Пила УВК'!#REF!,IF(K7=$M$4,$X$4*H7*'Пила УВК'!#REF!,0))</f>
        <v>0</v>
      </c>
      <c r="Y7" s="36">
        <f>IF(K7=4,0,IF($K$1=C7,'Пила УВК'!#REF!*H7*$Y$4*2,IF($K$2=C7,'Пила УВК'!#REF!*H7*$Y$4,0)))</f>
        <v>0</v>
      </c>
      <c r="Z7" s="36">
        <f t="shared" si="8"/>
        <v>0</v>
      </c>
      <c r="AA7" s="29">
        <f t="shared" ref="AA7:AA26" si="14">IF(J7=2,(Z7+Y7+X7+W7+V7+U7+T7)*1.2,(Z7+Y7+X7+W7+V7+U7+T7))</f>
        <v>0</v>
      </c>
      <c r="AB7" s="31">
        <f t="shared" ref="AB7:AB26" si="15">T7+U7+W7+X7</f>
        <v>0</v>
      </c>
      <c r="AC7" s="31">
        <f t="shared" ref="AC7:AC26" si="16">T7+U7+V7+Y7+Z7</f>
        <v>0</v>
      </c>
      <c r="AE7" s="32">
        <f>IF(C7=$K$1,IF(((AND(G7&gt;0,G7&lt;500))),$AE$4*2*H7,IF(((AND(G7&gt;=500,G7&lt;1000))),$AE$3*2*H7,IF(((AND(G7&gt;=1000,G7&lt;1500))),$AE$2*2*H7,IF(((AND(G7&gt;=1500,G7&lt;2000))),$AE$1*2*H7,IF(((AND(G7&gt;=2000,G7&lt;2500))),0.048*2*H7,0))))),0)</f>
        <v>0</v>
      </c>
      <c r="AF7" s="32">
        <f t="shared" si="9"/>
        <v>0</v>
      </c>
      <c r="AG7" s="32">
        <f t="shared" si="10"/>
        <v>0</v>
      </c>
      <c r="AH7" s="32">
        <f>IF(C7=$K$1,IF(((AND(G7&gt;0,G7&lt;500))),0.014*2*H7,IF(((AND(G7&gt;=500,G7&lt;1000))),0.014*2*H7,IF(((AND(G7&gt;=1000,G7&lt;1500))),0.014*2*H7,IF(((AND(G7&gt;=1500,G7&lt;2000))),0.015*2*H7,IF(((AND(G7&gt;=2000,G7&lt;2500))),0.015*2*H7,0))))),0)</f>
        <v>0</v>
      </c>
      <c r="AI7" s="32">
        <f t="shared" si="11"/>
        <v>0</v>
      </c>
      <c r="AJ7" s="32">
        <f t="shared" si="12"/>
        <v>0</v>
      </c>
      <c r="AK7" s="32">
        <f t="shared" ref="AK7:AK26" si="17">AJ7+AG7</f>
        <v>0</v>
      </c>
      <c r="AL7" s="32"/>
      <c r="AM7" s="32">
        <f>IF(K7=1,'Пила УВК'!M8*'Исходные данные'!$AM$4,IF(K7=3,'Пила УВК'!M8*'Исходные данные'!$AM$4,0))</f>
        <v>0</v>
      </c>
      <c r="AO7">
        <f>IF(K7=2,IF('Пила УВК'!#REF!=1,0.6*'Исходные данные'!H7,IF('Пила УВК'!#REF!=2,1.5*'Исходные данные'!H7,IF('Пила УВК'!#REF!=3,1.16*'Исходные данные'!H7,IF('Пила УВК'!#REF!=4,1.34*'Исходные данные'!H7,IF('Пила УВК'!#REF!=6,1.66*'Исходные данные'!H7,IF('Пила УВК'!#REF!=7,1.82*'Исходные данные'!H7,IF('Пила УВК'!#REF!=8,1.98*'Исходные данные'!H7,IF('Пила УВК'!#REF!=9,2.14*'Исходные данные'!H7,IF('Пила УВК'!#REF!=10,2.3*'Исходные данные'!H7,IF('Пила УВК'!#REF!=11,2.46*'Исходные данные'!H7,IF('Пила УВК'!#REF!=12,2.62*'Исходные данные'!H7,IF('Пила УВК'!#REF!=13,2.78*'Исходные данные'!H7,IF('Пила УВК'!#REF!=15,3.1*'Исходные данные'!H7,0))))))))))))),IF(K7=4,IF('Пила УВК'!#REF!=1,0.6*'Исходные данные'!H7,IF('Пила УВК'!#REF!=5,1.5*'Исходные данные'!H7,IF('Пила УВК'!#REF!=3,1.16*'Исходные данные'!H7,IF('Пила УВК'!#REF!=4,1.34*'Исходные данные'!H7,IF('Пила УВК'!#REF!=6,1.66*'Исходные данные'!H7,IF('Пила УВК'!#REF!=7,1.82*'Исходные данные'!H7,IF('Пила УВК'!#REF!=8,1.98*'Исходные данные'!H7,IF('Пила УВК'!#REF!=9,2.14*'Исходные данные'!H7,IF('Пила УВК'!#REF!=10,2.3*'Исходные данные'!H7,IF('Пила УВК'!#REF!=11,2.46*'Исходные данные'!H7,IF('Пила УВК'!#REF!=12,2.62*'Исходные данные'!H7,IF('Пила УВК'!#REF!=13,2.78*'Исходные данные'!H7,IF('Пила УВК'!#REF!=15,3.1*'Исходные данные'!H7,0))))))))))))),0))</f>
        <v>0</v>
      </c>
      <c r="AQ7">
        <f>IF(K7=1,IF('Пила УВК'!#REF!&lt;=2,H7*1.91,IF('Пила УВК'!#REF!&lt;=4,H7*2.06,IF('Пила УВК'!#REF!&lt;=5,H7*2.16,IF('Пила УВК'!#REF!&lt;=6,H7*2.35,IF('Пила УВК'!#REF!&lt;=7,H7*2.47,IF('Пила УВК'!#REF!&lt;=8,H7*2.51,IF('Пила УВК'!#REF!&lt;=10,H7*2.71,IF('Пила УВК'!#REF!&lt;=16,H7*4.49,IF('Пила УВК'!#REF!&lt;=20,H7*4.8,IF('Пила УВК'!#REF!&lt;=24,H7*5.11,IF('Пила УВК'!#REF!&lt;=32,H7*6.18,0))))))))))),IF(K7=3,IF('Пила УВК'!#REF!&lt;=2,H7*1.3,IF('Пила УВК'!#REF!&lt;=4,H7*1.45,IF('Пила УВК'!#REF!&lt;=5,H7*1.55,IF('Пила УВК'!#REF!&lt;=6,H7*1.74,IF('Пила УВК'!#REF!&lt;=7,H7*1.86,IF('Пила УВК'!#REF!&lt;=8,H7*1.9,IF('Пила УВК'!#REF!&lt;=10,H7*2.1,IF('Пила УВК'!#REF!&lt;=16,H7*3.27,IF('Пила УВК'!#REF!&lt;=20,H7*3.28,IF('Пила УВК'!#REF!&lt;=24,H7*3.89,IF('Пила УВК'!#REF!&lt;=32,H7*4.96,0))))))))))),0))</f>
        <v>0</v>
      </c>
    </row>
    <row r="8" spans="1:45">
      <c r="B8" s="50"/>
      <c r="C8" s="49"/>
      <c r="D8" s="49"/>
      <c r="E8" s="49"/>
      <c r="F8" s="50"/>
      <c r="G8" s="51"/>
      <c r="H8" s="50"/>
      <c r="I8" s="61"/>
      <c r="J8" s="29" t="str">
        <f t="shared" si="0"/>
        <v>---</v>
      </c>
      <c r="K8">
        <f t="shared" ref="K8:K26" si="18">IF(D8=$L$1,1,IF(D8=$L$2,2,IF(D8=$L$3,3,IF(D8=$L$4,4,0))))</f>
        <v>0</v>
      </c>
      <c r="M8" t="str">
        <f t="shared" si="1"/>
        <v>---</v>
      </c>
      <c r="N8" t="str">
        <f t="shared" si="2"/>
        <v>---</v>
      </c>
      <c r="O8" s="10" t="str">
        <f t="shared" si="13"/>
        <v>---</v>
      </c>
      <c r="P8" s="40" t="str">
        <f t="shared" si="3"/>
        <v>---</v>
      </c>
      <c r="Q8" s="56" t="str">
        <f t="shared" si="4"/>
        <v>---</v>
      </c>
      <c r="R8" s="36" t="str">
        <f t="shared" ref="R8:R27" si="19">IF(C8=$K$1,1,IF(C8=$K$2,2,"---"))</f>
        <v>---</v>
      </c>
      <c r="S8" s="34"/>
      <c r="T8" s="36">
        <f t="shared" si="5"/>
        <v>0</v>
      </c>
      <c r="U8" s="36">
        <f t="shared" si="6"/>
        <v>0</v>
      </c>
      <c r="V8" s="36">
        <f>IF(K8=4,0,IF((AND('Ножницы лента'!E9&gt;1000,'Ножницы лента'!E9&lt;2000)),'Исходные данные'!$V$3*'Исходные данные'!H8*2,IF('Ножницы лента'!E9&lt;1000,$V$4*2*H8,IF('Ножницы лента'!E9&gt;2000,$V$2*2*H8,"---"))))</f>
        <v>0</v>
      </c>
      <c r="W8" s="36">
        <f t="shared" si="7"/>
        <v>0</v>
      </c>
      <c r="X8" s="39">
        <f>IF(K8=$M$2,$X$4*H8*'Пила УВК'!#REF!,IF(K8=$M$4,$X$4*H8*'Пила УВК'!#REF!,0))</f>
        <v>0</v>
      </c>
      <c r="Y8" s="36">
        <f>IF(K8=4,0,IF($K$1=C8,'Пила УВК'!#REF!*H8*$Y$4*2,IF($K$2=C8,'Пила УВК'!#REF!*H8*$Y$4,0)))</f>
        <v>0</v>
      </c>
      <c r="Z8" s="36">
        <f t="shared" si="8"/>
        <v>0</v>
      </c>
      <c r="AA8" s="29">
        <f t="shared" si="14"/>
        <v>0</v>
      </c>
      <c r="AB8" s="31">
        <f t="shared" si="15"/>
        <v>0</v>
      </c>
      <c r="AC8" s="31">
        <f t="shared" si="16"/>
        <v>0</v>
      </c>
      <c r="AE8" s="32">
        <f t="shared" ref="AE8:AE26" si="20">IF(C8=$K$1,IF(((AND(G8&gt;0,G8&lt;500))),$AE$4*2*H8,IF(((AND(G8&gt;=500,G8&lt;1000))),$AE$3*2*H8,IF(((AND(G8&gt;=1000,G8&lt;1500))),$AE$2*2*H8,IF(((AND(G8&gt;=1500,G8&lt;2000))),$AE$1*2*H8,IF(((AND(G8&gt;=2000,G8&lt;2500))),0.048*2*H8,0))))),0)</f>
        <v>0</v>
      </c>
      <c r="AF8" s="32">
        <f t="shared" si="9"/>
        <v>0</v>
      </c>
      <c r="AG8" s="32">
        <f t="shared" si="10"/>
        <v>0</v>
      </c>
      <c r="AH8" s="32">
        <f t="shared" ref="AH8:AH26" si="21">IF(C8=$K$1,IF(((AND(G8&gt;0,G8&lt;500))),0.014*2*H8,IF(((AND(G8&gt;=500,G8&lt;1000))),0.014*2*H8,IF(((AND(G8&gt;=1000,G8&lt;1500))),0.014*2*H8,IF(((AND(G8&gt;=1500,G8&lt;2000))),0.015*2*H8,IF(((AND(G8&gt;=2000,G8&lt;2500))),0.015*2*H8,0))))),0)</f>
        <v>0</v>
      </c>
      <c r="AI8" s="32">
        <f t="shared" si="11"/>
        <v>0</v>
      </c>
      <c r="AJ8" s="32">
        <f t="shared" si="12"/>
        <v>0</v>
      </c>
      <c r="AK8" s="32">
        <f t="shared" si="17"/>
        <v>0</v>
      </c>
      <c r="AL8" s="32"/>
      <c r="AM8" s="32">
        <f>IF(K8=1,'Пила УВК'!M9*'Исходные данные'!$AM$4,IF(K8=3,'Пила УВК'!M9*'Исходные данные'!$AM$4,0))</f>
        <v>0</v>
      </c>
      <c r="AO8">
        <f>IF(K8=2,IF('Пила УВК'!#REF!=1,0.6*'Исходные данные'!H8,IF('Пила УВК'!#REF!=2,1.5*'Исходные данные'!H8,IF('Пила УВК'!#REF!=3,1.16*'Исходные данные'!H8,IF('Пила УВК'!#REF!=4,1.34*'Исходные данные'!H8,IF('Пила УВК'!#REF!=6,1.66*'Исходные данные'!H8,IF('Пила УВК'!#REF!=7,1.82*'Исходные данные'!H8,IF('Пила УВК'!#REF!=8,1.98*'Исходные данные'!H8,IF('Пила УВК'!#REF!=9,2.14*'Исходные данные'!H8,IF('Пила УВК'!#REF!=10,2.3*'Исходные данные'!H8,IF('Пила УВК'!#REF!=11,2.46*'Исходные данные'!H8,IF('Пила УВК'!#REF!=12,2.62*'Исходные данные'!H8,IF('Пила УВК'!#REF!=13,2.78*'Исходные данные'!H8,IF('Пила УВК'!#REF!=15,3.1*'Исходные данные'!H8,0))))))))))))),IF(K8=4,IF('Пила УВК'!#REF!=1,0.6*'Исходные данные'!H8,IF('Пила УВК'!#REF!=5,1.5*'Исходные данные'!H8,IF('Пила УВК'!#REF!=3,1.16*'Исходные данные'!H8,IF('Пила УВК'!#REF!=4,1.34*'Исходные данные'!H8,IF('Пила УВК'!#REF!=6,1.66*'Исходные данные'!H8,IF('Пила УВК'!#REF!=7,1.82*'Исходные данные'!H8,IF('Пила УВК'!#REF!=8,1.98*'Исходные данные'!H8,IF('Пила УВК'!#REF!=9,2.14*'Исходные данные'!H8,IF('Пила УВК'!#REF!=10,2.3*'Исходные данные'!H8,IF('Пила УВК'!#REF!=11,2.46*'Исходные данные'!H8,IF('Пила УВК'!#REF!=12,2.62*'Исходные данные'!H8,IF('Пила УВК'!#REF!=13,2.78*'Исходные данные'!H8,IF('Пила УВК'!#REF!=15,3.1*'Исходные данные'!H8,0))))))))))))),0))</f>
        <v>0</v>
      </c>
      <c r="AQ8">
        <f>IF(K8=1,IF('Пила УВК'!#REF!&lt;=2,H8*1.91,IF('Пила УВК'!#REF!&lt;=4,H8*2.06,IF('Пила УВК'!#REF!&lt;=5,H8*2.16,IF('Пила УВК'!#REF!&lt;=6,H8*2.35,IF('Пила УВК'!#REF!&lt;=7,H8*2.47,IF('Пила УВК'!#REF!&lt;=8,H8*2.51,IF('Пила УВК'!#REF!&lt;=10,H8*2.71,IF('Пила УВК'!#REF!&lt;=16,H8*4.49,IF('Пила УВК'!#REF!&lt;=20,H8*4.8,IF('Пила УВК'!#REF!&lt;=24,H8*5.11,IF('Пила УВК'!#REF!&lt;=32,H8*6.18,0))))))))))),IF(K8=3,IF('Пила УВК'!#REF!&lt;=2,H8*1.3,IF('Пила УВК'!#REF!&lt;=4,H8*1.45,IF('Пила УВК'!#REF!&lt;=5,H8*1.55,IF('Пила УВК'!#REF!&lt;=6,H8*1.74,IF('Пила УВК'!#REF!&lt;=7,H8*1.86,IF('Пила УВК'!#REF!&lt;=8,H8*1.9,IF('Пила УВК'!#REF!&lt;=10,H8*2.1,IF('Пила УВК'!#REF!&lt;=16,H8*3.27,IF('Пила УВК'!#REF!&lt;=20,H8*3.28,IF('Пила УВК'!#REF!&lt;=24,H8*3.89,IF('Пила УВК'!#REF!&lt;=32,H8*4.96,0))))))))))),0))</f>
        <v>0</v>
      </c>
    </row>
    <row r="9" spans="1:45">
      <c r="B9" s="50"/>
      <c r="C9" s="49"/>
      <c r="D9" s="49"/>
      <c r="E9" s="49"/>
      <c r="F9" s="50"/>
      <c r="G9" s="51"/>
      <c r="H9" s="50"/>
      <c r="I9" s="62"/>
      <c r="J9" s="29" t="str">
        <f t="shared" si="0"/>
        <v>---</v>
      </c>
      <c r="K9">
        <f t="shared" si="18"/>
        <v>0</v>
      </c>
      <c r="M9" t="str">
        <f t="shared" si="1"/>
        <v>---</v>
      </c>
      <c r="N9" t="str">
        <f t="shared" si="2"/>
        <v>---</v>
      </c>
      <c r="O9" s="10" t="str">
        <f t="shared" si="13"/>
        <v>---</v>
      </c>
      <c r="P9" s="40" t="str">
        <f t="shared" si="3"/>
        <v>---</v>
      </c>
      <c r="Q9" s="56" t="str">
        <f t="shared" si="4"/>
        <v>---</v>
      </c>
      <c r="R9" s="36" t="str">
        <f t="shared" si="19"/>
        <v>---</v>
      </c>
      <c r="S9" s="34"/>
      <c r="T9" s="36">
        <f t="shared" si="5"/>
        <v>0</v>
      </c>
      <c r="U9" s="36">
        <f t="shared" si="6"/>
        <v>0</v>
      </c>
      <c r="V9" s="36">
        <f>IF(K9=4,0,IF((AND('Ножницы лента'!E10&gt;1000,'Ножницы лента'!E10&lt;2000)),'Исходные данные'!$V$3*'Исходные данные'!H9*2,IF('Ножницы лента'!E10&lt;1000,$V$4*2*H9,IF('Ножницы лента'!E10&gt;2000,$V$2*2*H9,"---"))))</f>
        <v>0</v>
      </c>
      <c r="W9" s="36">
        <f t="shared" si="7"/>
        <v>0</v>
      </c>
      <c r="X9" s="39">
        <f>IF(K9=$M$2,$X$4*H9*'Пила УВК'!#REF!,IF(K9=$M$4,$X$4*H9*'Пила УВК'!#REF!,0))</f>
        <v>0</v>
      </c>
      <c r="Y9" s="36">
        <f>IF(K9=4,0,IF($K$1=C9,'Пила УВК'!#REF!*H9*$Y$4*2,IF($K$2=C9,'Пила УВК'!#REF!*H9*$Y$4,0)))</f>
        <v>0</v>
      </c>
      <c r="Z9" s="36">
        <f t="shared" si="8"/>
        <v>0</v>
      </c>
      <c r="AA9" s="29">
        <f t="shared" si="14"/>
        <v>0</v>
      </c>
      <c r="AB9" s="31">
        <f t="shared" si="15"/>
        <v>0</v>
      </c>
      <c r="AC9" s="31">
        <f t="shared" si="16"/>
        <v>0</v>
      </c>
      <c r="AE9" s="32">
        <f t="shared" si="20"/>
        <v>0</v>
      </c>
      <c r="AF9" s="32">
        <f t="shared" si="9"/>
        <v>0</v>
      </c>
      <c r="AG9" s="32">
        <f t="shared" si="10"/>
        <v>0</v>
      </c>
      <c r="AH9" s="32">
        <f t="shared" si="21"/>
        <v>0</v>
      </c>
      <c r="AI9" s="32">
        <f t="shared" si="11"/>
        <v>0</v>
      </c>
      <c r="AJ9" s="32">
        <f t="shared" si="12"/>
        <v>0</v>
      </c>
      <c r="AK9" s="32">
        <f t="shared" si="17"/>
        <v>0</v>
      </c>
      <c r="AL9" s="32"/>
      <c r="AM9" s="32">
        <f>IF(K9=1,'Пила УВК'!M10*'Исходные данные'!$AM$4,IF(K9=3,'Пила УВК'!M10*'Исходные данные'!$AM$4,0))</f>
        <v>0</v>
      </c>
      <c r="AO9">
        <f>IF(K9=2,IF('Пила УВК'!#REF!=1,0.6*'Исходные данные'!H9,IF('Пила УВК'!#REF!=2,1.5*'Исходные данные'!H9,IF('Пила УВК'!#REF!=3,1.16*'Исходные данные'!H9,IF('Пила УВК'!#REF!=4,1.34*'Исходные данные'!H9,IF('Пила УВК'!#REF!=6,1.66*'Исходные данные'!H9,IF('Пила УВК'!#REF!=7,1.82*'Исходные данные'!H9,IF('Пила УВК'!#REF!=8,1.98*'Исходные данные'!H9,IF('Пила УВК'!#REF!=9,2.14*'Исходные данные'!H9,IF('Пила УВК'!#REF!=10,2.3*'Исходные данные'!H9,IF('Пила УВК'!#REF!=11,2.46*'Исходные данные'!H9,IF('Пила УВК'!#REF!=12,2.62*'Исходные данные'!H9,IF('Пила УВК'!#REF!=13,2.78*'Исходные данные'!H9,IF('Пила УВК'!#REF!=15,3.1*'Исходные данные'!H9,0))))))))))))),IF(K9=4,IF('Пила УВК'!#REF!=1,0.6*'Исходные данные'!H9,IF('Пила УВК'!#REF!=5,1.5*'Исходные данные'!H9,IF('Пила УВК'!#REF!=3,1.16*'Исходные данные'!H9,IF('Пила УВК'!#REF!=4,1.34*'Исходные данные'!H9,IF('Пила УВК'!#REF!=6,1.66*'Исходные данные'!H9,IF('Пила УВК'!#REF!=7,1.82*'Исходные данные'!H9,IF('Пила УВК'!#REF!=8,1.98*'Исходные данные'!H9,IF('Пила УВК'!#REF!=9,2.14*'Исходные данные'!H9,IF('Пила УВК'!#REF!=10,2.3*'Исходные данные'!H9,IF('Пила УВК'!#REF!=11,2.46*'Исходные данные'!H9,IF('Пила УВК'!#REF!=12,2.62*'Исходные данные'!H9,IF('Пила УВК'!#REF!=13,2.78*'Исходные данные'!H9,IF('Пила УВК'!#REF!=15,3.1*'Исходные данные'!H9,0))))))))))))),0))</f>
        <v>0</v>
      </c>
      <c r="AQ9">
        <f>IF(K9=1,IF('Пила УВК'!#REF!&lt;=2,H9*1.91,IF('Пила УВК'!#REF!&lt;=4,H9*2.06,IF('Пила УВК'!#REF!&lt;=5,H9*2.16,IF('Пила УВК'!#REF!&lt;=6,H9*2.35,IF('Пила УВК'!#REF!&lt;=7,H9*2.47,IF('Пила УВК'!#REF!&lt;=8,H9*2.51,IF('Пила УВК'!#REF!&lt;=10,H9*2.71,IF('Пила УВК'!#REF!&lt;=16,H9*4.49,IF('Пила УВК'!#REF!&lt;=20,H9*4.8,IF('Пила УВК'!#REF!&lt;=24,H9*5.11,IF('Пила УВК'!#REF!&lt;=32,H9*6.18,0))))))))))),IF(K9=3,IF('Пила УВК'!#REF!&lt;=2,H9*1.3,IF('Пила УВК'!#REF!&lt;=4,H9*1.45,IF('Пила УВК'!#REF!&lt;=5,H9*1.55,IF('Пила УВК'!#REF!&lt;=6,H9*1.74,IF('Пила УВК'!#REF!&lt;=7,H9*1.86,IF('Пила УВК'!#REF!&lt;=8,H9*1.9,IF('Пила УВК'!#REF!&lt;=10,H9*2.1,IF('Пила УВК'!#REF!&lt;=16,H9*3.27,IF('Пила УВК'!#REF!&lt;=20,H9*3.28,IF('Пила УВК'!#REF!&lt;=24,H9*3.89,IF('Пила УВК'!#REF!&lt;=32,H9*4.96,0))))))))))),0))</f>
        <v>0</v>
      </c>
    </row>
    <row r="10" spans="1:45">
      <c r="B10" s="50"/>
      <c r="C10" s="1"/>
      <c r="D10" s="1"/>
      <c r="E10" s="49"/>
      <c r="F10" s="50"/>
      <c r="G10" s="51"/>
      <c r="H10" s="50"/>
      <c r="I10" s="61"/>
      <c r="J10" s="29" t="str">
        <f t="shared" si="0"/>
        <v>---</v>
      </c>
      <c r="K10">
        <f t="shared" si="18"/>
        <v>0</v>
      </c>
      <c r="M10" t="str">
        <f t="shared" si="1"/>
        <v>---</v>
      </c>
      <c r="N10" t="str">
        <f t="shared" si="2"/>
        <v>---</v>
      </c>
      <c r="O10" s="10" t="str">
        <f t="shared" si="13"/>
        <v>---</v>
      </c>
      <c r="P10" s="40" t="str">
        <f t="shared" si="3"/>
        <v>---</v>
      </c>
      <c r="Q10" s="56" t="str">
        <f t="shared" si="4"/>
        <v>---</v>
      </c>
      <c r="R10" s="36" t="str">
        <f t="shared" si="19"/>
        <v>---</v>
      </c>
      <c r="S10" s="34"/>
      <c r="T10" s="36">
        <f t="shared" si="5"/>
        <v>0</v>
      </c>
      <c r="U10" s="36">
        <f t="shared" si="6"/>
        <v>0</v>
      </c>
      <c r="V10" s="36">
        <f>IF(K10=4,0,IF((AND('Ножницы лента'!E11&gt;1000,'Ножницы лента'!E11&lt;2000)),'Исходные данные'!$V$3*'Исходные данные'!H10*2,IF('Ножницы лента'!E11&lt;1000,$V$4*2*H10,IF('Ножницы лента'!E11&gt;2000,$V$2*2*H10,"---"))))</f>
        <v>0</v>
      </c>
      <c r="W10" s="36">
        <f t="shared" si="7"/>
        <v>0</v>
      </c>
      <c r="X10" s="39">
        <f>IF(K10=$M$2,$X$4*H10*'Пила УВК'!#REF!,IF(K10=$M$4,$X$4*H10*'Пила УВК'!#REF!,0))</f>
        <v>0</v>
      </c>
      <c r="Y10" s="36">
        <f>IF(K10=4,0,IF($K$1=C10,'Пила УВК'!#REF!*H10*$Y$4*2,IF($K$2=C10,'Пила УВК'!#REF!*H10*$Y$4,0)))</f>
        <v>0</v>
      </c>
      <c r="Z10" s="36">
        <f t="shared" si="8"/>
        <v>0</v>
      </c>
      <c r="AA10" s="29">
        <f t="shared" si="14"/>
        <v>0</v>
      </c>
      <c r="AB10" s="31">
        <f t="shared" si="15"/>
        <v>0</v>
      </c>
      <c r="AC10" s="31">
        <f t="shared" si="16"/>
        <v>0</v>
      </c>
      <c r="AE10" s="32">
        <f t="shared" si="20"/>
        <v>0</v>
      </c>
      <c r="AF10" s="32">
        <f t="shared" si="9"/>
        <v>0</v>
      </c>
      <c r="AG10" s="32">
        <f t="shared" si="10"/>
        <v>0</v>
      </c>
      <c r="AH10" s="32">
        <f t="shared" si="21"/>
        <v>0</v>
      </c>
      <c r="AI10" s="32">
        <f t="shared" si="11"/>
        <v>0</v>
      </c>
      <c r="AJ10" s="32">
        <f t="shared" si="12"/>
        <v>0</v>
      </c>
      <c r="AK10" s="32">
        <f t="shared" si="17"/>
        <v>0</v>
      </c>
      <c r="AL10" s="32"/>
      <c r="AM10" s="32">
        <f>IF(K10=1,'Пила УВК'!M11*'Исходные данные'!$AM$4,IF(K10=3,'Пила УВК'!M11*'Исходные данные'!$AM$4,0))</f>
        <v>0</v>
      </c>
      <c r="AO10">
        <f>IF(K10=2,IF('Пила УВК'!#REF!=1,0.6*'Исходные данные'!H10,IF('Пила УВК'!#REF!=2,1.5*'Исходные данные'!H10,IF('Пила УВК'!#REF!=3,1.16*'Исходные данные'!H10,IF('Пила УВК'!#REF!=4,1.34*'Исходные данные'!H10,IF('Пила УВК'!#REF!=6,1.66*'Исходные данные'!H10,IF('Пила УВК'!#REF!=7,1.82*'Исходные данные'!H10,IF('Пила УВК'!#REF!=8,1.98*'Исходные данные'!H10,IF('Пила УВК'!#REF!=9,2.14*'Исходные данные'!H10,IF('Пила УВК'!#REF!=10,2.3*'Исходные данные'!H10,IF('Пила УВК'!#REF!=11,2.46*'Исходные данные'!H10,IF('Пила УВК'!#REF!=12,2.62*'Исходные данные'!H10,IF('Пила УВК'!#REF!=13,2.78*'Исходные данные'!H10,IF('Пила УВК'!#REF!=15,3.1*'Исходные данные'!H10,0))))))))))))),IF(K10=4,IF('Пила УВК'!#REF!=1,0.6*'Исходные данные'!H10,IF('Пила УВК'!#REF!=5,1.5*'Исходные данные'!H10,IF('Пила УВК'!#REF!=3,1.16*'Исходные данные'!H10,IF('Пила УВК'!#REF!=4,1.34*'Исходные данные'!H10,IF('Пила УВК'!#REF!=6,1.66*'Исходные данные'!H10,IF('Пила УВК'!#REF!=7,1.82*'Исходные данные'!H10,IF('Пила УВК'!#REF!=8,1.98*'Исходные данные'!H10,IF('Пила УВК'!#REF!=9,2.14*'Исходные данные'!H10,IF('Пила УВК'!#REF!=10,2.3*'Исходные данные'!H10,IF('Пила УВК'!#REF!=11,2.46*'Исходные данные'!H10,IF('Пила УВК'!#REF!=12,2.62*'Исходные данные'!H10,IF('Пила УВК'!#REF!=13,2.78*'Исходные данные'!H10,IF('Пила УВК'!#REF!=15,3.1*'Исходные данные'!H10,0))))))))))))),0))</f>
        <v>0</v>
      </c>
      <c r="AQ10">
        <f>IF(K10=1,IF('Пила УВК'!#REF!&lt;=2,H10*1.91,IF('Пила УВК'!#REF!&lt;=4,H10*2.06,IF('Пила УВК'!#REF!&lt;=5,H10*2.16,IF('Пила УВК'!#REF!&lt;=6,H10*2.35,IF('Пила УВК'!#REF!&lt;=7,H10*2.47,IF('Пила УВК'!#REF!&lt;=8,H10*2.51,IF('Пила УВК'!#REF!&lt;=10,H10*2.71,IF('Пила УВК'!#REF!&lt;=16,H10*4.49,IF('Пила УВК'!#REF!&lt;=20,H10*4.8,IF('Пила УВК'!#REF!&lt;=24,H10*5.11,IF('Пила УВК'!#REF!&lt;=32,H10*6.18,0))))))))))),IF(K10=3,IF('Пила УВК'!#REF!&lt;=2,H10*1.3,IF('Пила УВК'!#REF!&lt;=4,H10*1.45,IF('Пила УВК'!#REF!&lt;=5,H10*1.55,IF('Пила УВК'!#REF!&lt;=6,H10*1.74,IF('Пила УВК'!#REF!&lt;=7,H10*1.86,IF('Пила УВК'!#REF!&lt;=8,H10*1.9,IF('Пила УВК'!#REF!&lt;=10,H10*2.1,IF('Пила УВК'!#REF!&lt;=16,H10*3.27,IF('Пила УВК'!#REF!&lt;=20,H10*3.28,IF('Пила УВК'!#REF!&lt;=24,H10*3.89,IF('Пила УВК'!#REF!&lt;=32,H10*4.96,0))))))))))),0))</f>
        <v>0</v>
      </c>
    </row>
    <row r="11" spans="1:45">
      <c r="B11" s="50"/>
      <c r="C11" s="49"/>
      <c r="D11" s="49"/>
      <c r="E11" s="49"/>
      <c r="F11" s="50"/>
      <c r="G11" s="51"/>
      <c r="H11" s="50"/>
      <c r="I11" s="61"/>
      <c r="J11" s="29" t="str">
        <f t="shared" si="0"/>
        <v>---</v>
      </c>
      <c r="K11">
        <f t="shared" si="18"/>
        <v>0</v>
      </c>
      <c r="M11" t="str">
        <f t="shared" si="1"/>
        <v>---</v>
      </c>
      <c r="N11" t="str">
        <f t="shared" si="2"/>
        <v>---</v>
      </c>
      <c r="O11" s="10" t="str">
        <f t="shared" si="13"/>
        <v>---</v>
      </c>
      <c r="P11" s="40" t="str">
        <f t="shared" si="3"/>
        <v>---</v>
      </c>
      <c r="Q11" s="56" t="str">
        <f t="shared" si="4"/>
        <v>---</v>
      </c>
      <c r="R11" s="36" t="str">
        <f t="shared" si="19"/>
        <v>---</v>
      </c>
      <c r="S11" s="34"/>
      <c r="T11" s="36">
        <f t="shared" si="5"/>
        <v>0</v>
      </c>
      <c r="U11" s="36">
        <f t="shared" si="6"/>
        <v>0</v>
      </c>
      <c r="V11" s="36">
        <f>IF(K11=4,0,IF((AND('Ножницы лента'!E12&gt;1000,'Ножницы лента'!E12&lt;2000)),'Исходные данные'!$V$3*'Исходные данные'!H11*2,IF('Ножницы лента'!E12&lt;1000,$V$4*2*H11,IF('Ножницы лента'!E12&gt;2000,$V$2*2*H11,"---"))))</f>
        <v>0</v>
      </c>
      <c r="W11" s="36">
        <f t="shared" si="7"/>
        <v>0</v>
      </c>
      <c r="X11" s="39">
        <f>IF(K11=$M$2,$X$4*H11*'Пила УВК'!#REF!,IF(K11=$M$4,$X$4*H11*'Пила УВК'!#REF!,0))</f>
        <v>0</v>
      </c>
      <c r="Y11" s="36">
        <f>IF(K11=4,0,IF($K$1=C11,'Пила УВК'!#REF!*H11*$Y$4*2,IF($K$2=C11,'Пила УВК'!#REF!*H11*$Y$4,0)))</f>
        <v>0</v>
      </c>
      <c r="Z11" s="36">
        <f t="shared" si="8"/>
        <v>0</v>
      </c>
      <c r="AA11" s="29">
        <f t="shared" si="14"/>
        <v>0</v>
      </c>
      <c r="AB11" s="31">
        <f t="shared" si="15"/>
        <v>0</v>
      </c>
      <c r="AC11" s="31">
        <f t="shared" si="16"/>
        <v>0</v>
      </c>
      <c r="AE11" s="32">
        <f t="shared" si="20"/>
        <v>0</v>
      </c>
      <c r="AF11" s="32">
        <f t="shared" si="9"/>
        <v>0</v>
      </c>
      <c r="AG11" s="32">
        <f t="shared" si="10"/>
        <v>0</v>
      </c>
      <c r="AH11" s="32">
        <f t="shared" si="21"/>
        <v>0</v>
      </c>
      <c r="AI11" s="32">
        <f t="shared" si="11"/>
        <v>0</v>
      </c>
      <c r="AJ11" s="32">
        <f t="shared" si="12"/>
        <v>0</v>
      </c>
      <c r="AK11" s="32">
        <f t="shared" si="17"/>
        <v>0</v>
      </c>
      <c r="AL11" s="32"/>
      <c r="AM11" s="32">
        <f>IF(K11=1,'Пила УВК'!M12*'Исходные данные'!$AM$4,IF(K11=3,'Пила УВК'!M12*'Исходные данные'!$AM$4,0))</f>
        <v>0</v>
      </c>
      <c r="AO11">
        <f>IF(K11=2,IF('Пила УВК'!#REF!=1,0.6*'Исходные данные'!H11,IF('Пила УВК'!#REF!=2,1.5*'Исходные данные'!H11,IF('Пила УВК'!#REF!=3,1.16*'Исходные данные'!H11,IF('Пила УВК'!#REF!=4,1.34*'Исходные данные'!H11,IF('Пила УВК'!#REF!=6,1.66*'Исходные данные'!H11,IF('Пила УВК'!#REF!=7,1.82*'Исходные данные'!H11,IF('Пила УВК'!#REF!=8,1.98*'Исходные данные'!H11,IF('Пила УВК'!#REF!=9,2.14*'Исходные данные'!H11,IF('Пила УВК'!#REF!=10,2.3*'Исходные данные'!H11,IF('Пила УВК'!#REF!=11,2.46*'Исходные данные'!H11,IF('Пила УВК'!#REF!=12,2.62*'Исходные данные'!H11,IF('Пила УВК'!#REF!=13,2.78*'Исходные данные'!H11,IF('Пила УВК'!#REF!=15,3.1*'Исходные данные'!H11,0))))))))))))),IF(K11=4,IF('Пила УВК'!#REF!=1,0.6*'Исходные данные'!H11,IF('Пила УВК'!#REF!=5,1.5*'Исходные данные'!H11,IF('Пила УВК'!#REF!=3,1.16*'Исходные данные'!H11,IF('Пила УВК'!#REF!=4,1.34*'Исходные данные'!H11,IF('Пила УВК'!#REF!=6,1.66*'Исходные данные'!H11,IF('Пила УВК'!#REF!=7,1.82*'Исходные данные'!H11,IF('Пила УВК'!#REF!=8,1.98*'Исходные данные'!H11,IF('Пила УВК'!#REF!=9,2.14*'Исходные данные'!H11,IF('Пила УВК'!#REF!=10,2.3*'Исходные данные'!H11,IF('Пила УВК'!#REF!=11,2.46*'Исходные данные'!H11,IF('Пила УВК'!#REF!=12,2.62*'Исходные данные'!H11,IF('Пила УВК'!#REF!=13,2.78*'Исходные данные'!H11,IF('Пила УВК'!#REF!=15,3.1*'Исходные данные'!H11,0))))))))))))),0))</f>
        <v>0</v>
      </c>
      <c r="AQ11">
        <f>IF(K11=1,IF('Пила УВК'!#REF!&lt;=2,H11*1.91,IF('Пила УВК'!#REF!&lt;=4,H11*2.06,IF('Пила УВК'!#REF!&lt;=5,H11*2.16,IF('Пила УВК'!#REF!&lt;=6,H11*2.35,IF('Пила УВК'!#REF!&lt;=7,H11*2.47,IF('Пила УВК'!#REF!&lt;=8,H11*2.51,IF('Пила УВК'!#REF!&lt;=10,H11*2.71,IF('Пила УВК'!#REF!&lt;=16,H11*4.49,IF('Пила УВК'!#REF!&lt;=20,H11*4.8,IF('Пила УВК'!#REF!&lt;=24,H11*5.11,IF('Пила УВК'!#REF!&lt;=32,H11*6.18,0))))))))))),IF(K11=3,IF('Пила УВК'!#REF!&lt;=2,H11*1.3,IF('Пила УВК'!#REF!&lt;=4,H11*1.45,IF('Пила УВК'!#REF!&lt;=5,H11*1.55,IF('Пила УВК'!#REF!&lt;=6,H11*1.74,IF('Пила УВК'!#REF!&lt;=7,H11*1.86,IF('Пила УВК'!#REF!&lt;=8,H11*1.9,IF('Пила УВК'!#REF!&lt;=10,H11*2.1,IF('Пила УВК'!#REF!&lt;=16,H11*3.27,IF('Пила УВК'!#REF!&lt;=20,H11*3.28,IF('Пила УВК'!#REF!&lt;=24,H11*3.89,IF('Пила УВК'!#REF!&lt;=32,H11*4.96,0))))))))))),0))</f>
        <v>0</v>
      </c>
    </row>
    <row r="12" spans="1:45">
      <c r="B12" s="50"/>
      <c r="C12" s="49"/>
      <c r="D12" s="49"/>
      <c r="E12" s="49"/>
      <c r="F12" s="50"/>
      <c r="G12" s="51"/>
      <c r="H12" s="50"/>
      <c r="I12" s="61"/>
      <c r="J12" s="29" t="str">
        <f t="shared" si="0"/>
        <v>---</v>
      </c>
      <c r="K12">
        <f t="shared" si="18"/>
        <v>0</v>
      </c>
      <c r="M12" t="str">
        <f t="shared" si="1"/>
        <v>---</v>
      </c>
      <c r="N12" t="str">
        <f t="shared" si="2"/>
        <v>---</v>
      </c>
      <c r="O12" s="10" t="str">
        <f t="shared" si="13"/>
        <v>---</v>
      </c>
      <c r="P12" s="40" t="str">
        <f t="shared" si="3"/>
        <v>---</v>
      </c>
      <c r="Q12" s="56" t="str">
        <f t="shared" si="4"/>
        <v>---</v>
      </c>
      <c r="R12" s="36" t="str">
        <f t="shared" si="19"/>
        <v>---</v>
      </c>
      <c r="S12" s="34"/>
      <c r="T12" s="36">
        <f t="shared" si="5"/>
        <v>0</v>
      </c>
      <c r="U12" s="36">
        <f t="shared" si="6"/>
        <v>0</v>
      </c>
      <c r="V12" s="36">
        <f>IF(K12=4,0,IF((AND('Ножницы лента'!E13&gt;1000,'Ножницы лента'!E13&lt;2000)),'Исходные данные'!$V$3*'Исходные данные'!H12*2,IF('Ножницы лента'!E13&lt;1000,$V$4*2*H12,IF('Ножницы лента'!E13&gt;2000,$V$2*2*H12,"---"))))</f>
        <v>0</v>
      </c>
      <c r="W12" s="36">
        <f t="shared" si="7"/>
        <v>0</v>
      </c>
      <c r="X12" s="39">
        <f>IF(K12=$M$2,$X$4*H12*'Пила УВК'!#REF!,IF(K12=$M$4,$X$4*H12*'Пила УВК'!#REF!,0))</f>
        <v>0</v>
      </c>
      <c r="Y12" s="36">
        <f>IF(K12=4,0,IF($K$1=C12,'Пила УВК'!#REF!*H12*$Y$4*2,IF($K$2=C12,'Пила УВК'!#REF!*H12*$Y$4,0)))</f>
        <v>0</v>
      </c>
      <c r="Z12" s="36">
        <f t="shared" si="8"/>
        <v>0</v>
      </c>
      <c r="AA12" s="29">
        <f t="shared" si="14"/>
        <v>0</v>
      </c>
      <c r="AB12" s="31">
        <f t="shared" si="15"/>
        <v>0</v>
      </c>
      <c r="AC12" s="31">
        <f t="shared" si="16"/>
        <v>0</v>
      </c>
      <c r="AE12" s="32">
        <f t="shared" si="20"/>
        <v>0</v>
      </c>
      <c r="AF12" s="32">
        <f t="shared" si="9"/>
        <v>0</v>
      </c>
      <c r="AG12" s="32">
        <f t="shared" si="10"/>
        <v>0</v>
      </c>
      <c r="AH12" s="32">
        <f t="shared" si="21"/>
        <v>0</v>
      </c>
      <c r="AI12" s="32">
        <f t="shared" si="11"/>
        <v>0</v>
      </c>
      <c r="AJ12" s="32">
        <f t="shared" si="12"/>
        <v>0</v>
      </c>
      <c r="AK12" s="32">
        <f t="shared" si="17"/>
        <v>0</v>
      </c>
      <c r="AL12" s="32"/>
      <c r="AM12" s="32">
        <f>IF(K12=1,'Пила УВК'!M13*'Исходные данные'!$AM$4,IF(K12=3,'Пила УВК'!M13*'Исходные данные'!$AM$4,0))</f>
        <v>0</v>
      </c>
      <c r="AO12">
        <f>IF(K12=2,IF('Пила УВК'!#REF!=1,0.6*'Исходные данные'!H12,IF('Пила УВК'!#REF!=2,1.5*'Исходные данные'!H12,IF('Пила УВК'!#REF!=3,1.16*'Исходные данные'!H12,IF('Пила УВК'!#REF!=4,1.34*'Исходные данные'!H12,IF('Пила УВК'!#REF!=6,1.66*'Исходные данные'!H12,IF('Пила УВК'!#REF!=7,1.82*'Исходные данные'!H12,IF('Пила УВК'!#REF!=8,1.98*'Исходные данные'!H12,IF('Пила УВК'!#REF!=9,2.14*'Исходные данные'!H12,IF('Пила УВК'!#REF!=10,2.3*'Исходные данные'!H12,IF('Пила УВК'!#REF!=11,2.46*'Исходные данные'!H12,IF('Пила УВК'!#REF!=12,2.62*'Исходные данные'!H12,IF('Пила УВК'!#REF!=13,2.78*'Исходные данные'!H12,IF('Пила УВК'!#REF!=15,3.1*'Исходные данные'!H12,0))))))))))))),IF(K12=4,IF('Пила УВК'!#REF!=1,0.6*'Исходные данные'!H12,IF('Пила УВК'!#REF!=5,1.5*'Исходные данные'!H12,IF('Пила УВК'!#REF!=3,1.16*'Исходные данные'!H12,IF('Пила УВК'!#REF!=4,1.34*'Исходные данные'!H12,IF('Пила УВК'!#REF!=6,1.66*'Исходные данные'!H12,IF('Пила УВК'!#REF!=7,1.82*'Исходные данные'!H12,IF('Пила УВК'!#REF!=8,1.98*'Исходные данные'!H12,IF('Пила УВК'!#REF!=9,2.14*'Исходные данные'!H12,IF('Пила УВК'!#REF!=10,2.3*'Исходные данные'!H12,IF('Пила УВК'!#REF!=11,2.46*'Исходные данные'!H12,IF('Пила УВК'!#REF!=12,2.62*'Исходные данные'!H12,IF('Пила УВК'!#REF!=13,2.78*'Исходные данные'!H12,IF('Пила УВК'!#REF!=15,3.1*'Исходные данные'!H12,0))))))))))))),0))</f>
        <v>0</v>
      </c>
      <c r="AQ12">
        <f>IF(K12=1,IF('Пила УВК'!#REF!&lt;=2,H12*1.91,IF('Пила УВК'!#REF!&lt;=4,H12*2.06,IF('Пила УВК'!#REF!&lt;=5,H12*2.16,IF('Пила УВК'!#REF!&lt;=6,H12*2.35,IF('Пила УВК'!#REF!&lt;=7,H12*2.47,IF('Пила УВК'!#REF!&lt;=8,H12*2.51,IF('Пила УВК'!#REF!&lt;=10,H12*2.71,IF('Пила УВК'!#REF!&lt;=16,H12*4.49,IF('Пила УВК'!#REF!&lt;=20,H12*4.8,IF('Пила УВК'!#REF!&lt;=24,H12*5.11,IF('Пила УВК'!#REF!&lt;=32,H12*6.18,0))))))))))),IF(K12=3,IF('Пила УВК'!#REF!&lt;=2,H12*1.3,IF('Пила УВК'!#REF!&lt;=4,H12*1.45,IF('Пила УВК'!#REF!&lt;=5,H12*1.55,IF('Пила УВК'!#REF!&lt;=6,H12*1.74,IF('Пила УВК'!#REF!&lt;=7,H12*1.86,IF('Пила УВК'!#REF!&lt;=8,H12*1.9,IF('Пила УВК'!#REF!&lt;=10,H12*2.1,IF('Пила УВК'!#REF!&lt;=16,H12*3.27,IF('Пила УВК'!#REF!&lt;=20,H12*3.28,IF('Пила УВК'!#REF!&lt;=24,H12*3.89,IF('Пила УВК'!#REF!&lt;=32,H12*4.96,0))))))))))),0))</f>
        <v>0</v>
      </c>
    </row>
    <row r="13" spans="1:45">
      <c r="B13" s="50"/>
      <c r="C13" s="1"/>
      <c r="D13" s="1"/>
      <c r="E13" s="49"/>
      <c r="F13" s="50"/>
      <c r="G13" s="51"/>
      <c r="H13" s="50"/>
      <c r="I13" s="61"/>
      <c r="J13" s="29" t="str">
        <f t="shared" si="0"/>
        <v>---</v>
      </c>
      <c r="K13">
        <f t="shared" si="18"/>
        <v>0</v>
      </c>
      <c r="M13" t="str">
        <f t="shared" si="1"/>
        <v>---</v>
      </c>
      <c r="N13" t="str">
        <f t="shared" si="2"/>
        <v>---</v>
      </c>
      <c r="O13" s="10" t="str">
        <f t="shared" si="13"/>
        <v>---</v>
      </c>
      <c r="P13" s="40" t="str">
        <f t="shared" si="3"/>
        <v>---</v>
      </c>
      <c r="Q13" s="56" t="str">
        <f t="shared" si="4"/>
        <v>---</v>
      </c>
      <c r="R13" s="36" t="str">
        <f t="shared" si="19"/>
        <v>---</v>
      </c>
      <c r="S13" s="34"/>
      <c r="T13" s="36">
        <f t="shared" si="5"/>
        <v>0</v>
      </c>
      <c r="U13" s="36">
        <f t="shared" si="6"/>
        <v>0</v>
      </c>
      <c r="V13" s="36">
        <f>IF(K13=4,0,IF((AND('Ножницы лента'!E14&gt;1000,'Ножницы лента'!E14&lt;2000)),'Исходные данные'!$V$3*'Исходные данные'!H13*2,IF('Ножницы лента'!E14&lt;1000,$V$4*2*H13,IF('Ножницы лента'!E14&gt;2000,$V$2*2*H13,"---"))))</f>
        <v>0</v>
      </c>
      <c r="W13" s="36">
        <f t="shared" si="7"/>
        <v>0</v>
      </c>
      <c r="X13" s="39">
        <f>IF(K13=$M$2,$X$4*H13*'Пила УВК'!#REF!,IF(K13=$M$4,$X$4*H13*'Пила УВК'!#REF!,0))</f>
        <v>0</v>
      </c>
      <c r="Y13" s="36">
        <f>IF(K13=4,0,IF($K$1=C13,'Пила УВК'!#REF!*H13*$Y$4*2,IF($K$2=C13,'Пила УВК'!#REF!*H13*$Y$4,0)))</f>
        <v>0</v>
      </c>
      <c r="Z13" s="36">
        <f t="shared" si="8"/>
        <v>0</v>
      </c>
      <c r="AA13" s="29">
        <f t="shared" si="14"/>
        <v>0</v>
      </c>
      <c r="AB13" s="31">
        <f t="shared" si="15"/>
        <v>0</v>
      </c>
      <c r="AC13" s="31">
        <f t="shared" si="16"/>
        <v>0</v>
      </c>
      <c r="AE13" s="32">
        <f t="shared" si="20"/>
        <v>0</v>
      </c>
      <c r="AF13" s="32">
        <f t="shared" si="9"/>
        <v>0</v>
      </c>
      <c r="AG13" s="32">
        <f t="shared" si="10"/>
        <v>0</v>
      </c>
      <c r="AH13" s="32">
        <f t="shared" si="21"/>
        <v>0</v>
      </c>
      <c r="AI13" s="32">
        <f t="shared" ref="AI13:AI26" si="22">IF(AF13&gt;0,0.004*2*H13,0)</f>
        <v>0</v>
      </c>
      <c r="AJ13" s="32">
        <f t="shared" si="12"/>
        <v>0</v>
      </c>
      <c r="AK13" s="32">
        <f t="shared" si="17"/>
        <v>0</v>
      </c>
      <c r="AL13" s="32"/>
      <c r="AM13" s="32">
        <f>IF(K13=1,'Пила УВК'!M14*'Исходные данные'!$AM$4,IF(K13=3,'Пила УВК'!M14*'Исходные данные'!$AM$4,0))</f>
        <v>0</v>
      </c>
      <c r="AO13">
        <f>IF(K13=2,IF('Пила УВК'!#REF!=1,0.6*'Исходные данные'!H13,IF('Пила УВК'!#REF!=2,1.5*'Исходные данные'!H13,IF('Пила УВК'!#REF!=3,1.16*'Исходные данные'!H13,IF('Пила УВК'!#REF!=4,1.34*'Исходные данные'!H13,IF('Пила УВК'!#REF!=6,1.66*'Исходные данные'!H13,IF('Пила УВК'!#REF!=7,1.82*'Исходные данные'!H13,IF('Пила УВК'!#REF!=8,1.98*'Исходные данные'!H13,IF('Пила УВК'!#REF!=9,2.14*'Исходные данные'!H13,IF('Пила УВК'!#REF!=10,2.3*'Исходные данные'!H13,IF('Пила УВК'!#REF!=11,2.46*'Исходные данные'!H13,IF('Пила УВК'!#REF!=12,2.62*'Исходные данные'!H13,IF('Пила УВК'!#REF!=13,2.78*'Исходные данные'!H13,IF('Пила УВК'!#REF!=15,3.1*'Исходные данные'!H13,0))))))))))))),IF(K13=4,IF('Пила УВК'!#REF!=1,0.6*'Исходные данные'!H13,IF('Пила УВК'!#REF!=5,1.5*'Исходные данные'!H13,IF('Пила УВК'!#REF!=3,1.16*'Исходные данные'!H13,IF('Пила УВК'!#REF!=4,1.34*'Исходные данные'!H13,IF('Пила УВК'!#REF!=6,1.66*'Исходные данные'!H13,IF('Пила УВК'!#REF!=7,1.82*'Исходные данные'!H13,IF('Пила УВК'!#REF!=8,1.98*'Исходные данные'!H13,IF('Пила УВК'!#REF!=9,2.14*'Исходные данные'!H13,IF('Пила УВК'!#REF!=10,2.3*'Исходные данные'!H13,IF('Пила УВК'!#REF!=11,2.46*'Исходные данные'!H13,IF('Пила УВК'!#REF!=12,2.62*'Исходные данные'!H13,IF('Пила УВК'!#REF!=13,2.78*'Исходные данные'!H13,IF('Пила УВК'!#REF!=15,3.1*'Исходные данные'!H13,0))))))))))))),0))</f>
        <v>0</v>
      </c>
      <c r="AQ13">
        <f>IF(K13=1,IF('Пила УВК'!#REF!&lt;=2,H13*1.91,IF('Пила УВК'!#REF!&lt;=4,H13*2.06,IF('Пила УВК'!#REF!&lt;=5,H13*2.16,IF('Пила УВК'!#REF!&lt;=6,H13*2.35,IF('Пила УВК'!#REF!&lt;=7,H13*2.47,IF('Пила УВК'!#REF!&lt;=8,H13*2.51,IF('Пила УВК'!#REF!&lt;=10,H13*2.71,IF('Пила УВК'!#REF!&lt;=16,H13*4.49,IF('Пила УВК'!#REF!&lt;=20,H13*4.8,IF('Пила УВК'!#REF!&lt;=24,H13*5.11,IF('Пила УВК'!#REF!&lt;=32,H13*6.18,0))))))))))),IF(K13=3,IF('Пила УВК'!#REF!&lt;=2,H13*1.3,IF('Пила УВК'!#REF!&lt;=4,H13*1.45,IF('Пила УВК'!#REF!&lt;=5,H13*1.55,IF('Пила УВК'!#REF!&lt;=6,H13*1.74,IF('Пила УВК'!#REF!&lt;=7,H13*1.86,IF('Пила УВК'!#REF!&lt;=8,H13*1.9,IF('Пила УВК'!#REF!&lt;=10,H13*2.1,IF('Пила УВК'!#REF!&lt;=16,H13*3.27,IF('Пила УВК'!#REF!&lt;=20,H13*3.28,IF('Пила УВК'!#REF!&lt;=24,H13*3.89,IF('Пила УВК'!#REF!&lt;=32,H13*4.96,0))))))))))),0))</f>
        <v>0</v>
      </c>
    </row>
    <row r="14" spans="1:45">
      <c r="B14" s="50"/>
      <c r="C14" s="49"/>
      <c r="D14" s="49"/>
      <c r="E14" s="52"/>
      <c r="F14" s="52"/>
      <c r="G14" s="52"/>
      <c r="H14" s="52"/>
      <c r="I14" s="49"/>
      <c r="J14" s="29" t="str">
        <f t="shared" si="0"/>
        <v>---</v>
      </c>
      <c r="K14">
        <f t="shared" si="18"/>
        <v>0</v>
      </c>
      <c r="M14" t="str">
        <f t="shared" si="1"/>
        <v>---</v>
      </c>
      <c r="N14" t="str">
        <f t="shared" si="2"/>
        <v>---</v>
      </c>
      <c r="O14" s="10" t="str">
        <f t="shared" si="13"/>
        <v>---</v>
      </c>
      <c r="P14" s="40" t="str">
        <f t="shared" si="3"/>
        <v>---</v>
      </c>
      <c r="Q14" s="56" t="str">
        <f t="shared" si="4"/>
        <v>---</v>
      </c>
      <c r="R14" s="36" t="str">
        <f t="shared" si="19"/>
        <v>---</v>
      </c>
      <c r="S14" s="34"/>
      <c r="T14" s="36">
        <f t="shared" si="5"/>
        <v>0</v>
      </c>
      <c r="U14" s="36">
        <f t="shared" si="6"/>
        <v>0</v>
      </c>
      <c r="V14" s="36">
        <f>IF(K14=4,0,IF((AND('Ножницы лента'!E15&gt;1000,'Ножницы лента'!E15&lt;2000)),'Исходные данные'!$V$3*'Исходные данные'!H14*2,IF('Ножницы лента'!E15&lt;1000,$V$4*2*H14,IF('Ножницы лента'!E15&gt;2000,$V$2*2*H14,"---"))))</f>
        <v>0</v>
      </c>
      <c r="W14" s="36">
        <f t="shared" si="7"/>
        <v>0</v>
      </c>
      <c r="X14" s="39">
        <f>IF(K14=$M$2,$X$4*H14*'Пила УВК'!#REF!,IF(K14=$M$4,$X$4*H14*'Пила УВК'!#REF!,0))</f>
        <v>0</v>
      </c>
      <c r="Y14" s="36">
        <f>IF(K14=4,0,IF($K$1=C14,'Пила УВК'!#REF!*H14*$Y$4*2,IF($K$2=C14,'Пила УВК'!#REF!*H14*$Y$4,0)))</f>
        <v>0</v>
      </c>
      <c r="Z14" s="36">
        <f t="shared" si="8"/>
        <v>0</v>
      </c>
      <c r="AA14" s="29">
        <f t="shared" si="14"/>
        <v>0</v>
      </c>
      <c r="AB14" s="31">
        <f t="shared" si="15"/>
        <v>0</v>
      </c>
      <c r="AC14" s="31">
        <f t="shared" si="16"/>
        <v>0</v>
      </c>
      <c r="AE14" s="32">
        <f t="shared" si="20"/>
        <v>0</v>
      </c>
      <c r="AF14" s="32">
        <f t="shared" si="9"/>
        <v>0</v>
      </c>
      <c r="AG14" s="32">
        <f t="shared" si="10"/>
        <v>0</v>
      </c>
      <c r="AH14" s="32">
        <f t="shared" si="21"/>
        <v>0</v>
      </c>
      <c r="AI14" s="32">
        <f t="shared" si="22"/>
        <v>0</v>
      </c>
      <c r="AJ14" s="32">
        <f t="shared" si="12"/>
        <v>0</v>
      </c>
      <c r="AK14" s="32">
        <f t="shared" si="17"/>
        <v>0</v>
      </c>
      <c r="AL14" s="32"/>
      <c r="AM14" s="32">
        <f>IF(K14=1,'Пила УВК'!M15*'Исходные данные'!$AM$4,IF(K14=3,'Пила УВК'!M15*'Исходные данные'!$AM$4,0))</f>
        <v>0</v>
      </c>
      <c r="AO14">
        <f>IF(K14=2,IF('Пила УВК'!#REF!=1,0.6*'Исходные данные'!H14,IF('Пила УВК'!#REF!=2,1.5*'Исходные данные'!H14,IF('Пила УВК'!#REF!=3,1.16*'Исходные данные'!H14,IF('Пила УВК'!#REF!=4,1.34*'Исходные данные'!H14,IF('Пила УВК'!#REF!=6,1.66*'Исходные данные'!H14,IF('Пила УВК'!#REF!=7,1.82*'Исходные данные'!H14,IF('Пила УВК'!#REF!=8,1.98*'Исходные данные'!H14,IF('Пила УВК'!#REF!=9,2.14*'Исходные данные'!H14,IF('Пила УВК'!#REF!=10,2.3*'Исходные данные'!H14,IF('Пила УВК'!#REF!=11,2.46*'Исходные данные'!H14,IF('Пила УВК'!#REF!=12,2.62*'Исходные данные'!H14,IF('Пила УВК'!#REF!=13,2.78*'Исходные данные'!H14,IF('Пила УВК'!#REF!=15,3.1*'Исходные данные'!H14,0))))))))))))),IF(K14=4,IF('Пила УВК'!#REF!=1,0.6*'Исходные данные'!H14,IF('Пила УВК'!#REF!=5,1.5*'Исходные данные'!H14,IF('Пила УВК'!#REF!=3,1.16*'Исходные данные'!H14,IF('Пила УВК'!#REF!=4,1.34*'Исходные данные'!H14,IF('Пила УВК'!#REF!=6,1.66*'Исходные данные'!H14,IF('Пила УВК'!#REF!=7,1.82*'Исходные данные'!H14,IF('Пила УВК'!#REF!=8,1.98*'Исходные данные'!H14,IF('Пила УВК'!#REF!=9,2.14*'Исходные данные'!H14,IF('Пила УВК'!#REF!=10,2.3*'Исходные данные'!H14,IF('Пила УВК'!#REF!=11,2.46*'Исходные данные'!H14,IF('Пила УВК'!#REF!=12,2.62*'Исходные данные'!H14,IF('Пила УВК'!#REF!=13,2.78*'Исходные данные'!H14,IF('Пила УВК'!#REF!=15,3.1*'Исходные данные'!H14,0))))))))))))),0))</f>
        <v>0</v>
      </c>
      <c r="AQ14">
        <f>IF(K14=1,IF('Пила УВК'!#REF!&lt;=2,H14*1.91,IF('Пила УВК'!#REF!&lt;=4,H14*2.06,IF('Пила УВК'!#REF!&lt;=5,H14*2.16,IF('Пила УВК'!#REF!&lt;=6,H14*2.35,IF('Пила УВК'!#REF!&lt;=7,H14*2.47,IF('Пила УВК'!#REF!&lt;=8,H14*2.51,IF('Пила УВК'!#REF!&lt;=10,H14*2.71,IF('Пила УВК'!#REF!&lt;=16,H14*4.49,IF('Пила УВК'!#REF!&lt;=20,H14*4.8,IF('Пила УВК'!#REF!&lt;=24,H14*5.11,IF('Пила УВК'!#REF!&lt;=32,H14*6.18,0))))))))))),IF(K14=3,IF('Пила УВК'!#REF!&lt;=2,H14*1.3,IF('Пила УВК'!#REF!&lt;=4,H14*1.45,IF('Пила УВК'!#REF!&lt;=5,H14*1.55,IF('Пила УВК'!#REF!&lt;=6,H14*1.74,IF('Пила УВК'!#REF!&lt;=7,H14*1.86,IF('Пила УВК'!#REF!&lt;=8,H14*1.9,IF('Пила УВК'!#REF!&lt;=10,H14*2.1,IF('Пила УВК'!#REF!&lt;=16,H14*3.27,IF('Пила УВК'!#REF!&lt;=20,H14*3.28,IF('Пила УВК'!#REF!&lt;=24,H14*3.89,IF('Пила УВК'!#REF!&lt;=32,H14*4.96,0))))))))))),0))</f>
        <v>0</v>
      </c>
    </row>
    <row r="15" spans="1:45">
      <c r="B15" s="50"/>
      <c r="C15" s="49"/>
      <c r="D15" s="49"/>
      <c r="E15" s="52"/>
      <c r="F15" s="52"/>
      <c r="G15" s="52"/>
      <c r="H15" s="52"/>
      <c r="I15" s="49"/>
      <c r="J15" s="29" t="str">
        <f t="shared" si="0"/>
        <v>---</v>
      </c>
      <c r="K15">
        <f t="shared" si="18"/>
        <v>0</v>
      </c>
      <c r="M15" t="str">
        <f t="shared" si="1"/>
        <v>---</v>
      </c>
      <c r="N15" t="str">
        <f t="shared" si="2"/>
        <v>---</v>
      </c>
      <c r="O15" s="10" t="str">
        <f t="shared" si="13"/>
        <v>---</v>
      </c>
      <c r="P15" s="40" t="str">
        <f t="shared" si="3"/>
        <v>---</v>
      </c>
      <c r="Q15" s="56" t="str">
        <f t="shared" si="4"/>
        <v>---</v>
      </c>
      <c r="R15" s="36" t="str">
        <f t="shared" si="19"/>
        <v>---</v>
      </c>
      <c r="S15" s="34"/>
      <c r="T15" s="36">
        <f t="shared" si="5"/>
        <v>0</v>
      </c>
      <c r="U15" s="36">
        <f t="shared" si="6"/>
        <v>0</v>
      </c>
      <c r="V15" s="36">
        <f>IF(K15=4,0,IF((AND('Ножницы лента'!E16&gt;1000,'Ножницы лента'!E16&lt;2000)),'Исходные данные'!$V$3*'Исходные данные'!H15*2,IF('Ножницы лента'!E16&lt;1000,$V$4*2*H15,IF('Ножницы лента'!E16&gt;2000,$V$2*2*H15,"---"))))</f>
        <v>0</v>
      </c>
      <c r="W15" s="36">
        <f t="shared" si="7"/>
        <v>0</v>
      </c>
      <c r="X15" s="39">
        <f>IF(K15=$M$2,$X$4*H15*'Пила УВК'!#REF!,IF(K15=$M$4,$X$4*H15*'Пила УВК'!#REF!,0))</f>
        <v>0</v>
      </c>
      <c r="Y15" s="36">
        <f>IF(K15=4,0,IF($K$1=C15,'Пила УВК'!#REF!*H15*$Y$4*2,IF($K$2=C15,'Пила УВК'!#REF!*H15*$Y$4,0)))</f>
        <v>0</v>
      </c>
      <c r="Z15" s="36">
        <f t="shared" si="8"/>
        <v>0</v>
      </c>
      <c r="AA15" s="29">
        <f t="shared" si="14"/>
        <v>0</v>
      </c>
      <c r="AB15" s="31">
        <f t="shared" si="15"/>
        <v>0</v>
      </c>
      <c r="AC15" s="31">
        <f t="shared" si="16"/>
        <v>0</v>
      </c>
      <c r="AE15" s="32">
        <f t="shared" si="20"/>
        <v>0</v>
      </c>
      <c r="AF15" s="32">
        <f t="shared" si="9"/>
        <v>0</v>
      </c>
      <c r="AG15" s="32">
        <f t="shared" si="10"/>
        <v>0</v>
      </c>
      <c r="AH15" s="32">
        <f t="shared" si="21"/>
        <v>0</v>
      </c>
      <c r="AI15" s="32">
        <f t="shared" si="22"/>
        <v>0</v>
      </c>
      <c r="AJ15" s="32">
        <f t="shared" si="12"/>
        <v>0</v>
      </c>
      <c r="AK15" s="32">
        <f t="shared" si="17"/>
        <v>0</v>
      </c>
      <c r="AL15" s="32"/>
      <c r="AM15" s="32">
        <f>IF(K15=1,'Пила УВК'!M16*'Исходные данные'!$AM$4,IF(K15=3,'Пила УВК'!M16*'Исходные данные'!$AM$4,0))</f>
        <v>0</v>
      </c>
      <c r="AO15">
        <f>IF(K15=2,IF('Пила УВК'!#REF!=1,0.6*'Исходные данные'!H15,IF('Пила УВК'!#REF!=2,1.5*'Исходные данные'!H15,IF('Пила УВК'!#REF!=3,1.16*'Исходные данные'!H15,IF('Пила УВК'!#REF!=4,1.34*'Исходные данные'!H15,IF('Пила УВК'!#REF!=6,1.66*'Исходные данные'!H15,IF('Пила УВК'!#REF!=7,1.82*'Исходные данные'!H15,IF('Пила УВК'!#REF!=8,1.98*'Исходные данные'!H15,IF('Пила УВК'!#REF!=9,2.14*'Исходные данные'!H15,IF('Пила УВК'!#REF!=10,2.3*'Исходные данные'!H15,IF('Пила УВК'!#REF!=11,2.46*'Исходные данные'!H15,IF('Пила УВК'!#REF!=12,2.62*'Исходные данные'!H15,IF('Пила УВК'!#REF!=13,2.78*'Исходные данные'!H15,IF('Пила УВК'!#REF!=15,3.1*'Исходные данные'!H15,0))))))))))))),IF(K15=4,IF('Пила УВК'!#REF!=1,0.6*'Исходные данные'!H15,IF('Пила УВК'!#REF!=5,1.5*'Исходные данные'!H15,IF('Пила УВК'!#REF!=3,1.16*'Исходные данные'!H15,IF('Пила УВК'!#REF!=4,1.34*'Исходные данные'!H15,IF('Пила УВК'!#REF!=6,1.66*'Исходные данные'!H15,IF('Пила УВК'!#REF!=7,1.82*'Исходные данные'!H15,IF('Пила УВК'!#REF!=8,1.98*'Исходные данные'!H15,IF('Пила УВК'!#REF!=9,2.14*'Исходные данные'!H15,IF('Пила УВК'!#REF!=10,2.3*'Исходные данные'!H15,IF('Пила УВК'!#REF!=11,2.46*'Исходные данные'!H15,IF('Пила УВК'!#REF!=12,2.62*'Исходные данные'!H15,IF('Пила УВК'!#REF!=13,2.78*'Исходные данные'!H15,IF('Пила УВК'!#REF!=15,3.1*'Исходные данные'!H15,0))))))))))))),0))</f>
        <v>0</v>
      </c>
      <c r="AQ15">
        <f>IF(K15=1,IF('Пила УВК'!#REF!&lt;=2,H15*1.91,IF('Пила УВК'!#REF!&lt;=4,H15*2.06,IF('Пила УВК'!#REF!&lt;=5,H15*2.16,IF('Пила УВК'!#REF!&lt;=6,H15*2.35,IF('Пила УВК'!#REF!&lt;=7,H15*2.47,IF('Пила УВК'!#REF!&lt;=8,H15*2.51,IF('Пила УВК'!#REF!&lt;=10,H15*2.71,IF('Пила УВК'!#REF!&lt;=16,H15*4.49,IF('Пила УВК'!#REF!&lt;=20,H15*4.8,IF('Пила УВК'!#REF!&lt;=24,H15*5.11,IF('Пила УВК'!#REF!&lt;=32,H15*6.18,0))))))))))),IF(K15=3,IF('Пила УВК'!#REF!&lt;=2,H15*1.3,IF('Пила УВК'!#REF!&lt;=4,H15*1.45,IF('Пила УВК'!#REF!&lt;=5,H15*1.55,IF('Пила УВК'!#REF!&lt;=6,H15*1.74,IF('Пила УВК'!#REF!&lt;=7,H15*1.86,IF('Пила УВК'!#REF!&lt;=8,H15*1.9,IF('Пила УВК'!#REF!&lt;=10,H15*2.1,IF('Пила УВК'!#REF!&lt;=16,H15*3.27,IF('Пила УВК'!#REF!&lt;=20,H15*3.28,IF('Пила УВК'!#REF!&lt;=24,H15*3.89,IF('Пила УВК'!#REF!&lt;=32,H15*4.96,0))))))))))),0))</f>
        <v>0</v>
      </c>
    </row>
    <row r="16" spans="1:45">
      <c r="B16" s="50"/>
      <c r="C16" s="52"/>
      <c r="D16" s="52"/>
      <c r="E16" s="52"/>
      <c r="F16" s="52"/>
      <c r="G16" s="52"/>
      <c r="H16" s="52"/>
      <c r="I16" s="49"/>
      <c r="J16" s="29" t="str">
        <f t="shared" si="0"/>
        <v>---</v>
      </c>
      <c r="K16">
        <f t="shared" si="18"/>
        <v>0</v>
      </c>
      <c r="M16" t="str">
        <f t="shared" si="1"/>
        <v>---</v>
      </c>
      <c r="N16" t="str">
        <f t="shared" si="2"/>
        <v>---</v>
      </c>
      <c r="O16" s="10" t="str">
        <f t="shared" si="13"/>
        <v>---</v>
      </c>
      <c r="P16" s="40" t="str">
        <f t="shared" si="3"/>
        <v>---</v>
      </c>
      <c r="Q16" s="56" t="str">
        <f t="shared" si="4"/>
        <v>---</v>
      </c>
      <c r="R16" s="36" t="str">
        <f t="shared" si="19"/>
        <v>---</v>
      </c>
      <c r="S16" s="34"/>
      <c r="T16" s="36">
        <f t="shared" si="5"/>
        <v>0</v>
      </c>
      <c r="U16" s="36">
        <f t="shared" si="6"/>
        <v>0</v>
      </c>
      <c r="V16" s="36">
        <f>IF(K16=4,0,IF((AND('Ножницы лента'!E17&gt;1000,'Ножницы лента'!E17&lt;2000)),'Исходные данные'!$V$3*'Исходные данные'!H16*2,IF('Ножницы лента'!E17&lt;1000,$V$4*2*H16,IF('Ножницы лента'!E17&gt;2000,$V$2*2*H16,"---"))))</f>
        <v>0</v>
      </c>
      <c r="W16" s="36">
        <f t="shared" si="7"/>
        <v>0</v>
      </c>
      <c r="X16" s="39">
        <f>IF(K16=$M$2,$X$4*H16*'Пила УВК'!#REF!,IF(K16=$M$4,$X$4*H16*'Пила УВК'!#REF!,0))</f>
        <v>0</v>
      </c>
      <c r="Y16" s="36">
        <f>IF(K16=4,0,IF($K$1=C16,'Пила УВК'!#REF!*H16*$Y$4*2,IF($K$2=C16,'Пила УВК'!#REF!*H16*$Y$4,0)))</f>
        <v>0</v>
      </c>
      <c r="Z16" s="36">
        <f t="shared" si="8"/>
        <v>0</v>
      </c>
      <c r="AA16" s="29">
        <f t="shared" si="14"/>
        <v>0</v>
      </c>
      <c r="AB16" s="31">
        <f t="shared" si="15"/>
        <v>0</v>
      </c>
      <c r="AC16" s="31">
        <f t="shared" si="16"/>
        <v>0</v>
      </c>
      <c r="AE16" s="32">
        <f t="shared" si="20"/>
        <v>0</v>
      </c>
      <c r="AF16" s="32">
        <f t="shared" si="9"/>
        <v>0</v>
      </c>
      <c r="AG16" s="32">
        <f t="shared" si="10"/>
        <v>0</v>
      </c>
      <c r="AH16" s="32">
        <f t="shared" si="21"/>
        <v>0</v>
      </c>
      <c r="AI16" s="32">
        <f t="shared" si="22"/>
        <v>0</v>
      </c>
      <c r="AJ16" s="32">
        <f t="shared" si="12"/>
        <v>0</v>
      </c>
      <c r="AK16" s="32">
        <f t="shared" si="17"/>
        <v>0</v>
      </c>
      <c r="AL16" s="32"/>
      <c r="AM16" s="32">
        <f>IF(K16=1,'Пила УВК'!M17*'Исходные данные'!$AM$4,IF(K16=3,'Пила УВК'!M17*'Исходные данные'!$AM$4,0))</f>
        <v>0</v>
      </c>
      <c r="AO16">
        <f>IF(K16=2,IF('Пила УВК'!#REF!=1,0.6*'Исходные данные'!H16,IF('Пила УВК'!#REF!=2,1.5*'Исходные данные'!H16,IF('Пила УВК'!#REF!=3,1.16*'Исходные данные'!H16,IF('Пила УВК'!#REF!=4,1.34*'Исходные данные'!H16,IF('Пила УВК'!#REF!=6,1.66*'Исходные данные'!H16,IF('Пила УВК'!#REF!=7,1.82*'Исходные данные'!H16,IF('Пила УВК'!#REF!=8,1.98*'Исходные данные'!H16,IF('Пила УВК'!#REF!=9,2.14*'Исходные данные'!H16,IF('Пила УВК'!#REF!=10,2.3*'Исходные данные'!H16,IF('Пила УВК'!#REF!=11,2.46*'Исходные данные'!H16,IF('Пила УВК'!#REF!=12,2.62*'Исходные данные'!H16,IF('Пила УВК'!#REF!=13,2.78*'Исходные данные'!H16,IF('Пила УВК'!#REF!=15,3.1*'Исходные данные'!H16,0))))))))))))),IF(K16=4,IF('Пила УВК'!#REF!=1,0.6*'Исходные данные'!H16,IF('Пила УВК'!#REF!=5,1.5*'Исходные данные'!H16,IF('Пила УВК'!#REF!=3,1.16*'Исходные данные'!H16,IF('Пила УВК'!#REF!=4,1.34*'Исходные данные'!H16,IF('Пила УВК'!#REF!=6,1.66*'Исходные данные'!H16,IF('Пила УВК'!#REF!=7,1.82*'Исходные данные'!H16,IF('Пила УВК'!#REF!=8,1.98*'Исходные данные'!H16,IF('Пила УВК'!#REF!=9,2.14*'Исходные данные'!H16,IF('Пила УВК'!#REF!=10,2.3*'Исходные данные'!H16,IF('Пила УВК'!#REF!=11,2.46*'Исходные данные'!H16,IF('Пила УВК'!#REF!=12,2.62*'Исходные данные'!H16,IF('Пила УВК'!#REF!=13,2.78*'Исходные данные'!H16,IF('Пила УВК'!#REF!=15,3.1*'Исходные данные'!H16,0))))))))))))),0))</f>
        <v>0</v>
      </c>
      <c r="AQ16">
        <f>IF(K16=1,IF('Пила УВК'!#REF!&lt;=2,H16*1.91,IF('Пила УВК'!#REF!&lt;=4,H16*2.06,IF('Пила УВК'!#REF!&lt;=5,H16*2.16,IF('Пила УВК'!#REF!&lt;=6,H16*2.35,IF('Пила УВК'!#REF!&lt;=7,H16*2.47,IF('Пила УВК'!#REF!&lt;=8,H16*2.51,IF('Пила УВК'!#REF!&lt;=10,H16*2.71,IF('Пила УВК'!#REF!&lt;=16,H16*4.49,IF('Пила УВК'!#REF!&lt;=20,H16*4.8,IF('Пила УВК'!#REF!&lt;=24,H16*5.11,IF('Пила УВК'!#REF!&lt;=32,H16*6.18,0))))))))))),IF(K16=3,IF('Пила УВК'!#REF!&lt;=2,H16*1.3,IF('Пила УВК'!#REF!&lt;=4,H16*1.45,IF('Пила УВК'!#REF!&lt;=5,H16*1.55,IF('Пила УВК'!#REF!&lt;=6,H16*1.74,IF('Пила УВК'!#REF!&lt;=7,H16*1.86,IF('Пила УВК'!#REF!&lt;=8,H16*1.9,IF('Пила УВК'!#REF!&lt;=10,H16*2.1,IF('Пила УВК'!#REF!&lt;=16,H16*3.27,IF('Пила УВК'!#REF!&lt;=20,H16*3.28,IF('Пила УВК'!#REF!&lt;=24,H16*3.89,IF('Пила УВК'!#REF!&lt;=32,H16*4.96,0))))))))))),0))</f>
        <v>0</v>
      </c>
    </row>
    <row r="17" spans="2:43">
      <c r="B17" s="50"/>
      <c r="C17" s="52"/>
      <c r="D17" s="52"/>
      <c r="E17" s="52"/>
      <c r="F17" s="52"/>
      <c r="G17" s="52"/>
      <c r="H17" s="52"/>
      <c r="I17" s="49"/>
      <c r="J17" s="29" t="str">
        <f t="shared" si="0"/>
        <v>---</v>
      </c>
      <c r="K17">
        <f t="shared" si="18"/>
        <v>0</v>
      </c>
      <c r="M17" t="str">
        <f t="shared" si="1"/>
        <v>---</v>
      </c>
      <c r="N17" t="str">
        <f t="shared" si="2"/>
        <v>---</v>
      </c>
      <c r="O17" s="10" t="str">
        <f t="shared" si="13"/>
        <v>---</v>
      </c>
      <c r="P17" s="40" t="str">
        <f t="shared" si="3"/>
        <v>---</v>
      </c>
      <c r="Q17" s="56" t="str">
        <f t="shared" si="4"/>
        <v>---</v>
      </c>
      <c r="R17" s="36" t="str">
        <f t="shared" si="19"/>
        <v>---</v>
      </c>
      <c r="S17" s="34"/>
      <c r="T17" s="36">
        <f t="shared" si="5"/>
        <v>0</v>
      </c>
      <c r="U17" s="36">
        <f t="shared" si="6"/>
        <v>0</v>
      </c>
      <c r="V17" s="36">
        <f>IF(K17=4,0,IF((AND('Ножницы лента'!E18&gt;1000,'Ножницы лента'!E18&lt;2000)),'Исходные данные'!$V$3*'Исходные данные'!H17*2,IF('Ножницы лента'!E18&lt;1000,$V$4*2*H17,IF('Ножницы лента'!E18&gt;2000,$V$2*2*H17,"---"))))</f>
        <v>0</v>
      </c>
      <c r="W17" s="36">
        <f t="shared" si="7"/>
        <v>0</v>
      </c>
      <c r="X17" s="39">
        <f>IF(K17=$M$2,$X$4*H17*'Пила УВК'!#REF!,IF(K17=$M$4,$X$4*H17*'Пила УВК'!#REF!,0))</f>
        <v>0</v>
      </c>
      <c r="Y17" s="36">
        <f>IF(K17=4,0,IF($K$1=C17,'Пила УВК'!#REF!*H17*$Y$4*2,IF($K$2=C17,'Пила УВК'!#REF!*H17*$Y$4,0)))</f>
        <v>0</v>
      </c>
      <c r="Z17" s="36">
        <f t="shared" si="8"/>
        <v>0</v>
      </c>
      <c r="AA17" s="29">
        <f t="shared" si="14"/>
        <v>0</v>
      </c>
      <c r="AB17" s="31">
        <f t="shared" si="15"/>
        <v>0</v>
      </c>
      <c r="AC17" s="31">
        <f t="shared" si="16"/>
        <v>0</v>
      </c>
      <c r="AE17" s="32">
        <f t="shared" si="20"/>
        <v>0</v>
      </c>
      <c r="AF17" s="32">
        <f t="shared" si="9"/>
        <v>0</v>
      </c>
      <c r="AG17" s="32">
        <f t="shared" si="10"/>
        <v>0</v>
      </c>
      <c r="AH17" s="32">
        <f t="shared" si="21"/>
        <v>0</v>
      </c>
      <c r="AI17" s="32">
        <f t="shared" si="22"/>
        <v>0</v>
      </c>
      <c r="AJ17" s="32">
        <f t="shared" si="12"/>
        <v>0</v>
      </c>
      <c r="AK17" s="32">
        <f t="shared" si="17"/>
        <v>0</v>
      </c>
      <c r="AL17" s="32"/>
      <c r="AM17" s="32">
        <f>IF(K17=1,'Пила УВК'!M18*'Исходные данные'!$AM$4,IF(K17=3,'Пила УВК'!M18*'Исходные данные'!$AM$4,0))</f>
        <v>0</v>
      </c>
      <c r="AO17">
        <f>IF(K17=2,IF('Пила УВК'!#REF!=1,0.6*'Исходные данные'!H17,IF('Пила УВК'!#REF!=2,1.5*'Исходные данные'!H17,IF('Пила УВК'!#REF!=3,1.16*'Исходные данные'!H17,IF('Пила УВК'!#REF!=4,1.34*'Исходные данные'!H17,IF('Пила УВК'!#REF!=6,1.66*'Исходные данные'!H17,IF('Пила УВК'!#REF!=7,1.82*'Исходные данные'!H17,IF('Пила УВК'!#REF!=8,1.98*'Исходные данные'!H17,IF('Пила УВК'!#REF!=9,2.14*'Исходные данные'!H17,IF('Пила УВК'!#REF!=10,2.3*'Исходные данные'!H17,IF('Пила УВК'!#REF!=11,2.46*'Исходные данные'!H17,IF('Пила УВК'!#REF!=12,2.62*'Исходные данные'!H17,IF('Пила УВК'!#REF!=13,2.78*'Исходные данные'!H17,IF('Пила УВК'!#REF!=15,3.1*'Исходные данные'!H17,0))))))))))))),IF(K17=4,IF('Пила УВК'!#REF!=1,0.6*'Исходные данные'!H17,IF('Пила УВК'!#REF!=5,1.5*'Исходные данные'!H17,IF('Пила УВК'!#REF!=3,1.16*'Исходные данные'!H17,IF('Пила УВК'!#REF!=4,1.34*'Исходные данные'!H17,IF('Пила УВК'!#REF!=6,1.66*'Исходные данные'!H17,IF('Пила УВК'!#REF!=7,1.82*'Исходные данные'!H17,IF('Пила УВК'!#REF!=8,1.98*'Исходные данные'!H17,IF('Пила УВК'!#REF!=9,2.14*'Исходные данные'!H17,IF('Пила УВК'!#REF!=10,2.3*'Исходные данные'!H17,IF('Пила УВК'!#REF!=11,2.46*'Исходные данные'!H17,IF('Пила УВК'!#REF!=12,2.62*'Исходные данные'!H17,IF('Пила УВК'!#REF!=13,2.78*'Исходные данные'!H17,IF('Пила УВК'!#REF!=15,3.1*'Исходные данные'!H17,0))))))))))))),0))</f>
        <v>0</v>
      </c>
      <c r="AQ17">
        <f>IF(K17=1,IF('Пила УВК'!#REF!&lt;=2,H17*1.91,IF('Пила УВК'!#REF!&lt;=4,H17*2.06,IF('Пила УВК'!#REF!&lt;=5,H17*2.16,IF('Пила УВК'!#REF!&lt;=6,H17*2.35,IF('Пила УВК'!#REF!&lt;=7,H17*2.47,IF('Пила УВК'!#REF!&lt;=8,H17*2.51,IF('Пила УВК'!#REF!&lt;=10,H17*2.71,IF('Пила УВК'!#REF!&lt;=16,H17*4.49,IF('Пила УВК'!#REF!&lt;=20,H17*4.8,IF('Пила УВК'!#REF!&lt;=24,H17*5.11,IF('Пила УВК'!#REF!&lt;=32,H17*6.18,0))))))))))),IF(K17=3,IF('Пила УВК'!#REF!&lt;=2,H17*1.3,IF('Пила УВК'!#REF!&lt;=4,H17*1.45,IF('Пила УВК'!#REF!&lt;=5,H17*1.55,IF('Пила УВК'!#REF!&lt;=6,H17*1.74,IF('Пила УВК'!#REF!&lt;=7,H17*1.86,IF('Пила УВК'!#REF!&lt;=8,H17*1.9,IF('Пила УВК'!#REF!&lt;=10,H17*2.1,IF('Пила УВК'!#REF!&lt;=16,H17*3.27,IF('Пила УВК'!#REF!&lt;=20,H17*3.28,IF('Пила УВК'!#REF!&lt;=24,H17*3.89,IF('Пила УВК'!#REF!&lt;=32,H17*4.96,0))))))))))),0))</f>
        <v>0</v>
      </c>
    </row>
    <row r="18" spans="2:43">
      <c r="B18" s="50"/>
      <c r="C18" s="52"/>
      <c r="D18" s="52"/>
      <c r="E18" s="52"/>
      <c r="F18" s="52"/>
      <c r="G18" s="52"/>
      <c r="H18" s="52"/>
      <c r="I18" s="49"/>
      <c r="J18" s="29" t="str">
        <f t="shared" si="0"/>
        <v>---</v>
      </c>
      <c r="K18">
        <f t="shared" si="18"/>
        <v>0</v>
      </c>
      <c r="M18" t="str">
        <f t="shared" si="1"/>
        <v>---</v>
      </c>
      <c r="N18" t="str">
        <f t="shared" si="2"/>
        <v>---</v>
      </c>
      <c r="O18" s="10" t="str">
        <f t="shared" si="13"/>
        <v>---</v>
      </c>
      <c r="P18" s="40" t="str">
        <f t="shared" si="3"/>
        <v>---</v>
      </c>
      <c r="Q18" s="56" t="str">
        <f t="shared" si="4"/>
        <v>---</v>
      </c>
      <c r="R18" s="36" t="str">
        <f t="shared" si="19"/>
        <v>---</v>
      </c>
      <c r="S18" s="34"/>
      <c r="T18" s="36">
        <f t="shared" si="5"/>
        <v>0</v>
      </c>
      <c r="U18" s="36">
        <f t="shared" si="6"/>
        <v>0</v>
      </c>
      <c r="V18" s="36">
        <f>IF(K18=4,0,IF((AND('Ножницы лента'!E19&gt;1000,'Ножницы лента'!E19&lt;2000)),'Исходные данные'!$V$3*'Исходные данные'!H18*2,IF('Ножницы лента'!E19&lt;1000,$V$4*2*H18,IF('Ножницы лента'!E19&gt;2000,$V$2*2*H18,"---"))))</f>
        <v>0</v>
      </c>
      <c r="W18" s="36">
        <f t="shared" si="7"/>
        <v>0</v>
      </c>
      <c r="X18" s="39">
        <f>IF(K18=$M$2,$X$4*H18*'Пила УВК'!#REF!,IF(K18=$M$4,$X$4*H18*'Пила УВК'!#REF!,0))</f>
        <v>0</v>
      </c>
      <c r="Y18" s="36">
        <f>IF(K18=4,0,IF($K$1=C18,'Пила УВК'!#REF!*H18*$Y$4*2,IF($K$2=C18,'Пила УВК'!#REF!*H18*$Y$4,0)))</f>
        <v>0</v>
      </c>
      <c r="Z18" s="36">
        <f t="shared" si="8"/>
        <v>0</v>
      </c>
      <c r="AA18" s="29">
        <f t="shared" si="14"/>
        <v>0</v>
      </c>
      <c r="AB18" s="31">
        <f t="shared" si="15"/>
        <v>0</v>
      </c>
      <c r="AC18" s="31">
        <f t="shared" si="16"/>
        <v>0</v>
      </c>
      <c r="AE18" s="32">
        <f t="shared" si="20"/>
        <v>0</v>
      </c>
      <c r="AF18" s="32">
        <f t="shared" si="9"/>
        <v>0</v>
      </c>
      <c r="AG18" s="32">
        <f t="shared" si="10"/>
        <v>0</v>
      </c>
      <c r="AH18" s="32">
        <f t="shared" si="21"/>
        <v>0</v>
      </c>
      <c r="AI18" s="32">
        <f t="shared" si="22"/>
        <v>0</v>
      </c>
      <c r="AJ18" s="32">
        <f t="shared" si="12"/>
        <v>0</v>
      </c>
      <c r="AK18" s="32">
        <f t="shared" si="17"/>
        <v>0</v>
      </c>
      <c r="AL18" s="32"/>
      <c r="AM18" s="32">
        <f>IF(K18=1,'Пила УВК'!M19*'Исходные данные'!$AM$4,IF(K18=3,'Пила УВК'!M19*'Исходные данные'!$AM$4,0))</f>
        <v>0</v>
      </c>
      <c r="AO18">
        <f>IF(K18=2,IF('Пила УВК'!#REF!=1,0.6*'Исходные данные'!H18,IF('Пила УВК'!#REF!=2,1.5*'Исходные данные'!H18,IF('Пила УВК'!#REF!=3,1.16*'Исходные данные'!H18,IF('Пила УВК'!#REF!=4,1.34*'Исходные данные'!H18,IF('Пила УВК'!#REF!=6,1.66*'Исходные данные'!H18,IF('Пила УВК'!#REF!=7,1.82*'Исходные данные'!H18,IF('Пила УВК'!#REF!=8,1.98*'Исходные данные'!H18,IF('Пила УВК'!#REF!=9,2.14*'Исходные данные'!H18,IF('Пила УВК'!#REF!=10,2.3*'Исходные данные'!H18,IF('Пила УВК'!#REF!=11,2.46*'Исходные данные'!H18,IF('Пила УВК'!#REF!=12,2.62*'Исходные данные'!H18,IF('Пила УВК'!#REF!=13,2.78*'Исходные данные'!H18,IF('Пила УВК'!#REF!=15,3.1*'Исходные данные'!H18,0))))))))))))),IF(K18=4,IF('Пила УВК'!#REF!=1,0.6*'Исходные данные'!H18,IF('Пила УВК'!#REF!=5,1.5*'Исходные данные'!H18,IF('Пила УВК'!#REF!=3,1.16*'Исходные данные'!H18,IF('Пила УВК'!#REF!=4,1.34*'Исходные данные'!H18,IF('Пила УВК'!#REF!=6,1.66*'Исходные данные'!H18,IF('Пила УВК'!#REF!=7,1.82*'Исходные данные'!H18,IF('Пила УВК'!#REF!=8,1.98*'Исходные данные'!H18,IF('Пила УВК'!#REF!=9,2.14*'Исходные данные'!H18,IF('Пила УВК'!#REF!=10,2.3*'Исходные данные'!H18,IF('Пила УВК'!#REF!=11,2.46*'Исходные данные'!H18,IF('Пила УВК'!#REF!=12,2.62*'Исходные данные'!H18,IF('Пила УВК'!#REF!=13,2.78*'Исходные данные'!H18,IF('Пила УВК'!#REF!=15,3.1*'Исходные данные'!H18,0))))))))))))),0))</f>
        <v>0</v>
      </c>
      <c r="AQ18">
        <f>IF(K18=1,IF('Пила УВК'!#REF!&lt;=2,H18*1.91,IF('Пила УВК'!#REF!&lt;=4,H18*2.06,IF('Пила УВК'!#REF!&lt;=5,H18*2.16,IF('Пила УВК'!#REF!&lt;=6,H18*2.35,IF('Пила УВК'!#REF!&lt;=7,H18*2.47,IF('Пила УВК'!#REF!&lt;=8,H18*2.51,IF('Пила УВК'!#REF!&lt;=10,H18*2.71,IF('Пила УВК'!#REF!&lt;=16,H18*4.49,IF('Пила УВК'!#REF!&lt;=20,H18*4.8,IF('Пила УВК'!#REF!&lt;=24,H18*5.11,IF('Пила УВК'!#REF!&lt;=32,H18*6.18,0))))))))))),IF(K18=3,IF('Пила УВК'!#REF!&lt;=2,H18*1.3,IF('Пила УВК'!#REF!&lt;=4,H18*1.45,IF('Пила УВК'!#REF!&lt;=5,H18*1.55,IF('Пила УВК'!#REF!&lt;=6,H18*1.74,IF('Пила УВК'!#REF!&lt;=7,H18*1.86,IF('Пила УВК'!#REF!&lt;=8,H18*1.9,IF('Пила УВК'!#REF!&lt;=10,H18*2.1,IF('Пила УВК'!#REF!&lt;=16,H18*3.27,IF('Пила УВК'!#REF!&lt;=20,H18*3.28,IF('Пила УВК'!#REF!&lt;=24,H18*3.89,IF('Пила УВК'!#REF!&lt;=32,H18*4.96,0))))))))))),0))</f>
        <v>0</v>
      </c>
    </row>
    <row r="19" spans="2:43">
      <c r="B19" s="50"/>
      <c r="C19" s="52"/>
      <c r="D19" s="52"/>
      <c r="E19" s="52"/>
      <c r="F19" s="52"/>
      <c r="G19" s="52"/>
      <c r="H19" s="52"/>
      <c r="I19" s="49"/>
      <c r="J19" s="29" t="str">
        <f t="shared" si="0"/>
        <v>---</v>
      </c>
      <c r="K19">
        <f t="shared" si="18"/>
        <v>0</v>
      </c>
      <c r="M19" t="str">
        <f t="shared" si="1"/>
        <v>---</v>
      </c>
      <c r="N19" t="str">
        <f t="shared" si="2"/>
        <v>---</v>
      </c>
      <c r="O19" s="10" t="str">
        <f t="shared" si="13"/>
        <v>---</v>
      </c>
      <c r="P19" s="40" t="str">
        <f t="shared" si="3"/>
        <v>---</v>
      </c>
      <c r="Q19" s="56" t="str">
        <f t="shared" si="4"/>
        <v>---</v>
      </c>
      <c r="R19" s="36" t="str">
        <f t="shared" si="19"/>
        <v>---</v>
      </c>
      <c r="S19" s="34"/>
      <c r="T19" s="36">
        <f t="shared" si="5"/>
        <v>0</v>
      </c>
      <c r="U19" s="36">
        <f t="shared" si="6"/>
        <v>0</v>
      </c>
      <c r="V19" s="36">
        <f>IF(K19=4,0,IF((AND('Ножницы лента'!E20&gt;1000,'Ножницы лента'!E20&lt;2000)),'Исходные данные'!$V$3*'Исходные данные'!H19*2,IF('Ножницы лента'!E20&lt;1000,$V$4*2*H19,IF('Ножницы лента'!E20&gt;2000,$V$2*2*H19,"---"))))</f>
        <v>0</v>
      </c>
      <c r="W19" s="36">
        <f t="shared" si="7"/>
        <v>0</v>
      </c>
      <c r="X19" s="39">
        <f>IF(K19=$M$2,$X$4*H19*'Пила УВК'!#REF!,IF(K19=$M$4,$X$4*H19*'Пила УВК'!#REF!,0))</f>
        <v>0</v>
      </c>
      <c r="Y19" s="36">
        <f>IF(K19=4,0,IF($K$1=C19,'Пила УВК'!#REF!*H19*$Y$4*2,IF($K$2=C19,'Пила УВК'!#REF!*H19*$Y$4,0)))</f>
        <v>0</v>
      </c>
      <c r="Z19" s="36">
        <f t="shared" si="8"/>
        <v>0</v>
      </c>
      <c r="AA19" s="29">
        <f t="shared" si="14"/>
        <v>0</v>
      </c>
      <c r="AB19" s="31">
        <f t="shared" si="15"/>
        <v>0</v>
      </c>
      <c r="AC19" s="31">
        <f t="shared" si="16"/>
        <v>0</v>
      </c>
      <c r="AE19" s="32">
        <f t="shared" si="20"/>
        <v>0</v>
      </c>
      <c r="AF19" s="32">
        <f t="shared" si="9"/>
        <v>0</v>
      </c>
      <c r="AG19" s="32">
        <f t="shared" si="10"/>
        <v>0</v>
      </c>
      <c r="AH19" s="32">
        <f t="shared" si="21"/>
        <v>0</v>
      </c>
      <c r="AI19" s="32">
        <f t="shared" si="22"/>
        <v>0</v>
      </c>
      <c r="AJ19" s="32">
        <f t="shared" si="12"/>
        <v>0</v>
      </c>
      <c r="AK19" s="32">
        <f t="shared" si="17"/>
        <v>0</v>
      </c>
      <c r="AL19" s="32"/>
      <c r="AM19" s="32">
        <f>IF(K19=1,'Пила УВК'!M20*'Исходные данные'!$AM$4,IF(K19=3,'Пила УВК'!M20*'Исходные данные'!$AM$4,0))</f>
        <v>0</v>
      </c>
      <c r="AO19">
        <f>IF(K19=2,IF('Пила УВК'!#REF!=1,0.6*'Исходные данные'!H19,IF('Пила УВК'!#REF!=2,1.5*'Исходные данные'!H19,IF('Пила УВК'!#REF!=3,1.16*'Исходные данные'!H19,IF('Пила УВК'!#REF!=4,1.34*'Исходные данные'!H19,IF('Пила УВК'!#REF!=6,1.66*'Исходные данные'!H19,IF('Пила УВК'!#REF!=7,1.82*'Исходные данные'!H19,IF('Пила УВК'!#REF!=8,1.98*'Исходные данные'!H19,IF('Пила УВК'!#REF!=9,2.14*'Исходные данные'!H19,IF('Пила УВК'!#REF!=10,2.3*'Исходные данные'!H19,IF('Пила УВК'!#REF!=11,2.46*'Исходные данные'!H19,IF('Пила УВК'!#REF!=12,2.62*'Исходные данные'!H19,IF('Пила УВК'!#REF!=13,2.78*'Исходные данные'!H19,IF('Пила УВК'!#REF!=15,3.1*'Исходные данные'!H19,0))))))))))))),IF(K19=4,IF('Пила УВК'!#REF!=1,0.6*'Исходные данные'!H19,IF('Пила УВК'!#REF!=5,1.5*'Исходные данные'!H19,IF('Пила УВК'!#REF!=3,1.16*'Исходные данные'!H19,IF('Пила УВК'!#REF!=4,1.34*'Исходные данные'!H19,IF('Пила УВК'!#REF!=6,1.66*'Исходные данные'!H19,IF('Пила УВК'!#REF!=7,1.82*'Исходные данные'!H19,IF('Пила УВК'!#REF!=8,1.98*'Исходные данные'!H19,IF('Пила УВК'!#REF!=9,2.14*'Исходные данные'!H19,IF('Пила УВК'!#REF!=10,2.3*'Исходные данные'!H19,IF('Пила УВК'!#REF!=11,2.46*'Исходные данные'!H19,IF('Пила УВК'!#REF!=12,2.62*'Исходные данные'!H19,IF('Пила УВК'!#REF!=13,2.78*'Исходные данные'!H19,IF('Пила УВК'!#REF!=15,3.1*'Исходные данные'!H19,0))))))))))))),0))</f>
        <v>0</v>
      </c>
      <c r="AQ19">
        <f>IF(K19=1,IF('Пила УВК'!#REF!&lt;=2,H19*1.91,IF('Пила УВК'!#REF!&lt;=4,H19*2.06,IF('Пила УВК'!#REF!&lt;=5,H19*2.16,IF('Пила УВК'!#REF!&lt;=6,H19*2.35,IF('Пила УВК'!#REF!&lt;=7,H19*2.47,IF('Пила УВК'!#REF!&lt;=8,H19*2.51,IF('Пила УВК'!#REF!&lt;=10,H19*2.71,IF('Пила УВК'!#REF!&lt;=16,H19*4.49,IF('Пила УВК'!#REF!&lt;=20,H19*4.8,IF('Пила УВК'!#REF!&lt;=24,H19*5.11,IF('Пила УВК'!#REF!&lt;=32,H19*6.18,0))))))))))),IF(K19=3,IF('Пила УВК'!#REF!&lt;=2,H19*1.3,IF('Пила УВК'!#REF!&lt;=4,H19*1.45,IF('Пила УВК'!#REF!&lt;=5,H19*1.55,IF('Пила УВК'!#REF!&lt;=6,H19*1.74,IF('Пила УВК'!#REF!&lt;=7,H19*1.86,IF('Пила УВК'!#REF!&lt;=8,H19*1.9,IF('Пила УВК'!#REF!&lt;=10,H19*2.1,IF('Пила УВК'!#REF!&lt;=16,H19*3.27,IF('Пила УВК'!#REF!&lt;=20,H19*3.28,IF('Пила УВК'!#REF!&lt;=24,H19*3.89,IF('Пила УВК'!#REF!&lt;=32,H19*4.96,0))))))))))),0))</f>
        <v>0</v>
      </c>
    </row>
    <row r="20" spans="2:43">
      <c r="B20" s="50"/>
      <c r="C20" s="52"/>
      <c r="D20" s="52"/>
      <c r="E20" s="52"/>
      <c r="F20" s="52"/>
      <c r="G20" s="52"/>
      <c r="H20" s="52"/>
      <c r="I20" s="49"/>
      <c r="J20" s="29" t="str">
        <f t="shared" si="0"/>
        <v>---</v>
      </c>
      <c r="K20">
        <f t="shared" si="18"/>
        <v>0</v>
      </c>
      <c r="M20" t="str">
        <f t="shared" si="1"/>
        <v>---</v>
      </c>
      <c r="N20" t="str">
        <f t="shared" si="2"/>
        <v>---</v>
      </c>
      <c r="O20" s="10" t="str">
        <f>IF(L21=2,150,IF(L21=4,150,"---"))</f>
        <v>---</v>
      </c>
      <c r="P20" s="40" t="str">
        <f t="shared" si="3"/>
        <v>---</v>
      </c>
      <c r="Q20" s="56" t="str">
        <f t="shared" si="4"/>
        <v>---</v>
      </c>
      <c r="R20" s="36" t="str">
        <f t="shared" si="19"/>
        <v>---</v>
      </c>
      <c r="S20" s="34"/>
      <c r="T20" s="36">
        <f t="shared" si="5"/>
        <v>0</v>
      </c>
      <c r="U20" s="36">
        <f t="shared" si="6"/>
        <v>0</v>
      </c>
      <c r="V20" s="36">
        <f>IF(K20=4,0,IF((AND('Ножницы лента'!E21&gt;1000,'Ножницы лента'!E21&lt;2000)),'Исходные данные'!$V$3*'Исходные данные'!H20*2,IF('Ножницы лента'!E21&lt;1000,$V$4*2*H20,IF('Ножницы лента'!E21&gt;2000,$V$2*2*H20,"---"))))</f>
        <v>0</v>
      </c>
      <c r="W20" s="36">
        <f t="shared" si="7"/>
        <v>0</v>
      </c>
      <c r="X20" s="39">
        <f>IF(K20=$M$2,$X$4*H20*'Пила УВК'!#REF!,IF(K20=$M$4,$X$4*H20*'Пила УВК'!#REF!,0))</f>
        <v>0</v>
      </c>
      <c r="Y20" s="36">
        <f>IF(K20=4,0,IF($K$1=C20,'Пила УВК'!#REF!*H20*$Y$4*2,IF($K$2=C20,'Пила УВК'!#REF!*H20*$Y$4,0)))</f>
        <v>0</v>
      </c>
      <c r="Z20" s="36">
        <f t="shared" si="8"/>
        <v>0</v>
      </c>
      <c r="AA20" s="29">
        <f t="shared" si="14"/>
        <v>0</v>
      </c>
      <c r="AB20" s="31">
        <f t="shared" si="15"/>
        <v>0</v>
      </c>
      <c r="AC20" s="31">
        <f t="shared" si="16"/>
        <v>0</v>
      </c>
      <c r="AE20" s="32">
        <f t="shared" si="20"/>
        <v>0</v>
      </c>
      <c r="AF20" s="32">
        <f t="shared" si="9"/>
        <v>0</v>
      </c>
      <c r="AG20" s="32">
        <f t="shared" si="10"/>
        <v>0</v>
      </c>
      <c r="AH20" s="32">
        <f t="shared" si="21"/>
        <v>0</v>
      </c>
      <c r="AI20" s="32">
        <f t="shared" si="22"/>
        <v>0</v>
      </c>
      <c r="AJ20" s="32">
        <f t="shared" si="12"/>
        <v>0</v>
      </c>
      <c r="AK20" s="32">
        <f t="shared" si="17"/>
        <v>0</v>
      </c>
      <c r="AL20" s="32"/>
      <c r="AM20" s="32">
        <f>IF(K20=1,'Пила УВК'!M21*'Исходные данные'!$AM$4,IF(K20=3,'Пила УВК'!M21*'Исходные данные'!$AM$4,0))</f>
        <v>0</v>
      </c>
      <c r="AO20">
        <f>IF(K20=2,IF('Пила УВК'!#REF!=1,0.6*'Исходные данные'!H20,IF('Пила УВК'!#REF!=2,1.5*'Исходные данные'!H20,IF('Пила УВК'!#REF!=3,1.16*'Исходные данные'!H20,IF('Пила УВК'!#REF!=4,1.34*'Исходные данные'!H20,IF('Пила УВК'!#REF!=6,1.66*'Исходные данные'!H20,IF('Пила УВК'!#REF!=7,1.82*'Исходные данные'!H20,IF('Пила УВК'!#REF!=8,1.98*'Исходные данные'!H20,IF('Пила УВК'!#REF!=9,2.14*'Исходные данные'!H20,IF('Пила УВК'!#REF!=10,2.3*'Исходные данные'!H20,IF('Пила УВК'!#REF!=11,2.46*'Исходные данные'!H20,IF('Пила УВК'!#REF!=12,2.62*'Исходные данные'!H20,IF('Пила УВК'!#REF!=13,2.78*'Исходные данные'!H20,IF('Пила УВК'!#REF!=15,3.1*'Исходные данные'!H20,0))))))))))))),IF(K20=4,IF('Пила УВК'!#REF!=1,0.6*'Исходные данные'!H20,IF('Пила УВК'!#REF!=5,1.5*'Исходные данные'!H20,IF('Пила УВК'!#REF!=3,1.16*'Исходные данные'!H20,IF('Пила УВК'!#REF!=4,1.34*'Исходные данные'!H20,IF('Пила УВК'!#REF!=6,1.66*'Исходные данные'!H20,IF('Пила УВК'!#REF!=7,1.82*'Исходные данные'!H20,IF('Пила УВК'!#REF!=8,1.98*'Исходные данные'!H20,IF('Пила УВК'!#REF!=9,2.14*'Исходные данные'!H20,IF('Пила УВК'!#REF!=10,2.3*'Исходные данные'!H20,IF('Пила УВК'!#REF!=11,2.46*'Исходные данные'!H20,IF('Пила УВК'!#REF!=12,2.62*'Исходные данные'!H20,IF('Пила УВК'!#REF!=13,2.78*'Исходные данные'!H20,IF('Пила УВК'!#REF!=15,3.1*'Исходные данные'!H20,0))))))))))))),0))</f>
        <v>0</v>
      </c>
      <c r="AQ20">
        <f>IF(K20=1,IF('Пила УВК'!#REF!&lt;=2,H20*1.91,IF('Пила УВК'!#REF!&lt;=4,H20*2.06,IF('Пила УВК'!#REF!&lt;=5,H20*2.16,IF('Пила УВК'!#REF!&lt;=6,H20*2.35,IF('Пила УВК'!#REF!&lt;=7,H20*2.47,IF('Пила УВК'!#REF!&lt;=8,H20*2.51,IF('Пила УВК'!#REF!&lt;=10,H20*2.71,IF('Пила УВК'!#REF!&lt;=16,H20*4.49,IF('Пила УВК'!#REF!&lt;=20,H20*4.8,IF('Пила УВК'!#REF!&lt;=24,H20*5.11,IF('Пила УВК'!#REF!&lt;=32,H20*6.18,0))))))))))),IF(K20=3,IF('Пила УВК'!#REF!&lt;=2,H20*1.3,IF('Пила УВК'!#REF!&lt;=4,H20*1.45,IF('Пила УВК'!#REF!&lt;=5,H20*1.55,IF('Пила УВК'!#REF!&lt;=6,H20*1.74,IF('Пила УВК'!#REF!&lt;=7,H20*1.86,IF('Пила УВК'!#REF!&lt;=8,H20*1.9,IF('Пила УВК'!#REF!&lt;=10,H20*2.1,IF('Пила УВК'!#REF!&lt;=16,H20*3.27,IF('Пила УВК'!#REF!&lt;=20,H20*3.28,IF('Пила УВК'!#REF!&lt;=24,H20*3.89,IF('Пила УВК'!#REF!&lt;=32,H20*4.96,0))))))))))),0))</f>
        <v>0</v>
      </c>
    </row>
    <row r="21" spans="2:43">
      <c r="B21" s="50"/>
      <c r="C21" s="52"/>
      <c r="D21" s="52"/>
      <c r="E21" s="52"/>
      <c r="F21" s="52"/>
      <c r="G21" s="52"/>
      <c r="H21" s="52"/>
      <c r="I21" s="49"/>
      <c r="J21" s="29" t="str">
        <f t="shared" si="0"/>
        <v>---</v>
      </c>
      <c r="K21">
        <f t="shared" si="18"/>
        <v>0</v>
      </c>
      <c r="L21">
        <f>IF(D20=$L$1,1,IF(D20=$L$2,2,IF(D20=$L$3,3,IF(D20=$L$4,4,0))))</f>
        <v>0</v>
      </c>
      <c r="M21" t="str">
        <f t="shared" si="1"/>
        <v>---</v>
      </c>
      <c r="N21" t="str">
        <f t="shared" si="2"/>
        <v>---</v>
      </c>
      <c r="O21" s="10" t="str">
        <f t="shared" si="13"/>
        <v>---</v>
      </c>
      <c r="P21" s="40" t="str">
        <f t="shared" si="3"/>
        <v>---</v>
      </c>
      <c r="Q21" s="56" t="str">
        <f t="shared" si="4"/>
        <v>---</v>
      </c>
      <c r="R21" s="36" t="str">
        <f t="shared" si="19"/>
        <v>---</v>
      </c>
      <c r="S21" s="34"/>
      <c r="T21" s="36">
        <f t="shared" si="5"/>
        <v>0</v>
      </c>
      <c r="U21" s="36">
        <f t="shared" si="6"/>
        <v>0</v>
      </c>
      <c r="V21" s="36">
        <f>IF(K21=4,0,IF((AND('Ножницы лента'!E22&gt;1000,'Ножницы лента'!E22&lt;2000)),'Исходные данные'!$V$3*'Исходные данные'!H21*2,IF('Ножницы лента'!E22&lt;1000,$V$4*2*H21,IF('Ножницы лента'!E22&gt;2000,$V$2*2*H21,"---"))))</f>
        <v>0</v>
      </c>
      <c r="W21" s="36">
        <f t="shared" si="7"/>
        <v>0</v>
      </c>
      <c r="X21" s="39">
        <f>IF(K21=$M$2,$X$4*H21*'Пила УВК'!#REF!,IF(K21=$M$4,$X$4*H21*'Пила УВК'!#REF!,0))</f>
        <v>0</v>
      </c>
      <c r="Y21" s="36">
        <f>IF(K21=4,0,IF($K$1=C21,'Пила УВК'!#REF!*H21*$Y$4*2,IF($K$2=C21,'Пила УВК'!#REF!*H21*$Y$4,0)))</f>
        <v>0</v>
      </c>
      <c r="Z21" s="36">
        <f t="shared" si="8"/>
        <v>0</v>
      </c>
      <c r="AA21" s="29">
        <f t="shared" si="14"/>
        <v>0</v>
      </c>
      <c r="AB21" s="31">
        <f t="shared" si="15"/>
        <v>0</v>
      </c>
      <c r="AC21" s="31">
        <f t="shared" si="16"/>
        <v>0</v>
      </c>
      <c r="AE21" s="32">
        <f t="shared" si="20"/>
        <v>0</v>
      </c>
      <c r="AF21" s="32">
        <f t="shared" si="9"/>
        <v>0</v>
      </c>
      <c r="AG21" s="32">
        <f t="shared" si="10"/>
        <v>0</v>
      </c>
      <c r="AH21" s="32">
        <f t="shared" si="21"/>
        <v>0</v>
      </c>
      <c r="AI21" s="32">
        <f t="shared" si="22"/>
        <v>0</v>
      </c>
      <c r="AJ21" s="32">
        <f t="shared" si="12"/>
        <v>0</v>
      </c>
      <c r="AK21" s="32">
        <f t="shared" si="17"/>
        <v>0</v>
      </c>
      <c r="AL21" s="32"/>
      <c r="AM21" s="32">
        <f>IF(K21=1,'Пила УВК'!M22*'Исходные данные'!$AM$4,IF(K21=3,'Пила УВК'!M22*'Исходные данные'!$AM$4,0))</f>
        <v>0</v>
      </c>
      <c r="AO21">
        <f>IF(K21=2,IF('Пила УВК'!#REF!=1,0.6*'Исходные данные'!H21,IF('Пила УВК'!#REF!=2,1.5*'Исходные данные'!H21,IF('Пила УВК'!#REF!=3,1.16*'Исходные данные'!H21,IF('Пила УВК'!#REF!=4,1.34*'Исходные данные'!H21,IF('Пила УВК'!#REF!=6,1.66*'Исходные данные'!H21,IF('Пила УВК'!#REF!=7,1.82*'Исходные данные'!H21,IF('Пила УВК'!#REF!=8,1.98*'Исходные данные'!H21,IF('Пила УВК'!#REF!=9,2.14*'Исходные данные'!H21,IF('Пила УВК'!#REF!=10,2.3*'Исходные данные'!H21,IF('Пила УВК'!#REF!=11,2.46*'Исходные данные'!H21,IF('Пила УВК'!#REF!=12,2.62*'Исходные данные'!H21,IF('Пила УВК'!#REF!=13,2.78*'Исходные данные'!H21,IF('Пила УВК'!#REF!=15,3.1*'Исходные данные'!H21,0))))))))))))),IF(K21=4,IF('Пила УВК'!#REF!=1,0.6*'Исходные данные'!H21,IF('Пила УВК'!#REF!=5,1.5*'Исходные данные'!H21,IF('Пила УВК'!#REF!=3,1.16*'Исходные данные'!H21,IF('Пила УВК'!#REF!=4,1.34*'Исходные данные'!H21,IF('Пила УВК'!#REF!=6,1.66*'Исходные данные'!H21,IF('Пила УВК'!#REF!=7,1.82*'Исходные данные'!H21,IF('Пила УВК'!#REF!=8,1.98*'Исходные данные'!H21,IF('Пила УВК'!#REF!=9,2.14*'Исходные данные'!H21,IF('Пила УВК'!#REF!=10,2.3*'Исходные данные'!H21,IF('Пила УВК'!#REF!=11,2.46*'Исходные данные'!H21,IF('Пила УВК'!#REF!=12,2.62*'Исходные данные'!H21,IF('Пила УВК'!#REF!=13,2.78*'Исходные данные'!H21,IF('Пила УВК'!#REF!=15,3.1*'Исходные данные'!H21,0))))))))))))),0))</f>
        <v>0</v>
      </c>
      <c r="AQ21">
        <f>IF(K21=1,IF('Пила УВК'!#REF!&lt;=2,H21*1.91,IF('Пила УВК'!#REF!&lt;=4,H21*2.06,IF('Пила УВК'!#REF!&lt;=5,H21*2.16,IF('Пила УВК'!#REF!&lt;=6,H21*2.35,IF('Пила УВК'!#REF!&lt;=7,H21*2.47,IF('Пила УВК'!#REF!&lt;=8,H21*2.51,IF('Пила УВК'!#REF!&lt;=10,H21*2.71,IF('Пила УВК'!#REF!&lt;=16,H21*4.49,IF('Пила УВК'!#REF!&lt;=20,H21*4.8,IF('Пила УВК'!#REF!&lt;=24,H21*5.11,IF('Пила УВК'!#REF!&lt;=32,H21*6.18,0))))))))))),IF(K21=3,IF('Пила УВК'!#REF!&lt;=2,H21*1.3,IF('Пила УВК'!#REF!&lt;=4,H21*1.45,IF('Пила УВК'!#REF!&lt;=5,H21*1.55,IF('Пила УВК'!#REF!&lt;=6,H21*1.74,IF('Пила УВК'!#REF!&lt;=7,H21*1.86,IF('Пила УВК'!#REF!&lt;=8,H21*1.9,IF('Пила УВК'!#REF!&lt;=10,H21*2.1,IF('Пила УВК'!#REF!&lt;=16,H21*3.27,IF('Пила УВК'!#REF!&lt;=20,H21*3.28,IF('Пила УВК'!#REF!&lt;=24,H21*3.89,IF('Пила УВК'!#REF!&lt;=32,H21*4.96,0))))))))))),0))</f>
        <v>0</v>
      </c>
    </row>
    <row r="22" spans="2:43">
      <c r="B22" s="50"/>
      <c r="C22" s="52"/>
      <c r="D22" s="52"/>
      <c r="E22" s="52"/>
      <c r="F22" s="52"/>
      <c r="G22" s="52"/>
      <c r="H22" s="52"/>
      <c r="I22" s="49"/>
      <c r="J22" s="29" t="str">
        <f t="shared" si="0"/>
        <v>---</v>
      </c>
      <c r="K22">
        <f t="shared" si="18"/>
        <v>0</v>
      </c>
      <c r="M22" t="str">
        <f t="shared" si="1"/>
        <v>---</v>
      </c>
      <c r="N22" t="str">
        <f t="shared" si="2"/>
        <v>---</v>
      </c>
      <c r="O22" s="10" t="str">
        <f t="shared" si="13"/>
        <v>---</v>
      </c>
      <c r="P22" s="40" t="str">
        <f t="shared" si="3"/>
        <v>---</v>
      </c>
      <c r="Q22" s="56" t="str">
        <f t="shared" si="4"/>
        <v>---</v>
      </c>
      <c r="R22" s="36" t="str">
        <f t="shared" si="19"/>
        <v>---</v>
      </c>
      <c r="S22" s="34"/>
      <c r="T22" s="36">
        <f t="shared" si="5"/>
        <v>0</v>
      </c>
      <c r="U22" s="36">
        <f t="shared" si="6"/>
        <v>0</v>
      </c>
      <c r="V22" s="36">
        <f>IF(K22=4,0,IF((AND('Ножницы лента'!E23&gt;1000,'Ножницы лента'!E23&lt;2000)),'Исходные данные'!$V$3*'Исходные данные'!H22*2,IF('Ножницы лента'!E23&lt;1000,$V$4*2*H22,IF('Ножницы лента'!E23&gt;2000,$V$2*2*H22,"---"))))</f>
        <v>0</v>
      </c>
      <c r="W22" s="36">
        <f t="shared" si="7"/>
        <v>0</v>
      </c>
      <c r="X22" s="39">
        <f>IF(K22=$M$2,$X$4*H22*'Пила УВК'!#REF!,IF(K22=$M$4,$X$4*H22*'Пила УВК'!#REF!,0))</f>
        <v>0</v>
      </c>
      <c r="Y22" s="36">
        <f>IF(K22=4,0,IF($K$1=C22,'Пила УВК'!#REF!*H22*$Y$4*2,IF($K$2=C22,'Пила УВК'!#REF!*H22*$Y$4,0)))</f>
        <v>0</v>
      </c>
      <c r="Z22" s="36">
        <f t="shared" si="8"/>
        <v>0</v>
      </c>
      <c r="AA22" s="29">
        <f t="shared" si="14"/>
        <v>0</v>
      </c>
      <c r="AB22" s="31">
        <f t="shared" si="15"/>
        <v>0</v>
      </c>
      <c r="AC22" s="31">
        <f t="shared" si="16"/>
        <v>0</v>
      </c>
      <c r="AE22" s="32">
        <f t="shared" si="20"/>
        <v>0</v>
      </c>
      <c r="AF22" s="32">
        <f t="shared" si="9"/>
        <v>0</v>
      </c>
      <c r="AG22" s="32">
        <f t="shared" si="10"/>
        <v>0</v>
      </c>
      <c r="AH22" s="32">
        <f t="shared" si="21"/>
        <v>0</v>
      </c>
      <c r="AI22" s="32">
        <f t="shared" si="22"/>
        <v>0</v>
      </c>
      <c r="AJ22" s="32">
        <f t="shared" si="12"/>
        <v>0</v>
      </c>
      <c r="AK22" s="32">
        <f t="shared" si="17"/>
        <v>0</v>
      </c>
      <c r="AL22" s="32"/>
      <c r="AM22" s="32">
        <f>IF(K22=1,'Пила УВК'!M23*'Исходные данные'!$AM$4,IF(K22=3,'Пила УВК'!M23*'Исходные данные'!$AM$4,0))</f>
        <v>0</v>
      </c>
      <c r="AO22">
        <f>IF(K22=2,IF('Пила УВК'!#REF!=1,0.6*'Исходные данные'!H22,IF('Пила УВК'!#REF!=2,1.5*'Исходные данные'!H22,IF('Пила УВК'!#REF!=3,1.16*'Исходные данные'!H22,IF('Пила УВК'!#REF!=4,1.34*'Исходные данные'!H22,IF('Пила УВК'!#REF!=6,1.66*'Исходные данные'!H22,IF('Пила УВК'!#REF!=7,1.82*'Исходные данные'!H22,IF('Пила УВК'!#REF!=8,1.98*'Исходные данные'!H22,IF('Пила УВК'!#REF!=9,2.14*'Исходные данные'!H22,IF('Пила УВК'!#REF!=10,2.3*'Исходные данные'!H22,IF('Пила УВК'!#REF!=11,2.46*'Исходные данные'!H22,IF('Пила УВК'!#REF!=12,2.62*'Исходные данные'!H22,IF('Пила УВК'!#REF!=13,2.78*'Исходные данные'!H22,IF('Пила УВК'!#REF!=15,3.1*'Исходные данные'!H22,0))))))))))))),IF(K22=4,IF('Пила УВК'!#REF!=1,0.6*'Исходные данные'!H22,IF('Пила УВК'!#REF!=5,1.5*'Исходные данные'!H22,IF('Пила УВК'!#REF!=3,1.16*'Исходные данные'!H22,IF('Пила УВК'!#REF!=4,1.34*'Исходные данные'!H22,IF('Пила УВК'!#REF!=6,1.66*'Исходные данные'!H22,IF('Пила УВК'!#REF!=7,1.82*'Исходные данные'!H22,IF('Пила УВК'!#REF!=8,1.98*'Исходные данные'!H22,IF('Пила УВК'!#REF!=9,2.14*'Исходные данные'!H22,IF('Пила УВК'!#REF!=10,2.3*'Исходные данные'!H22,IF('Пила УВК'!#REF!=11,2.46*'Исходные данные'!H22,IF('Пила УВК'!#REF!=12,2.62*'Исходные данные'!H22,IF('Пила УВК'!#REF!=13,2.78*'Исходные данные'!H22,IF('Пила УВК'!#REF!=15,3.1*'Исходные данные'!H22,0))))))))))))),0))</f>
        <v>0</v>
      </c>
      <c r="AQ22">
        <f>IF(K22=1,IF('Пила УВК'!#REF!&lt;=2,H22*1.91,IF('Пила УВК'!#REF!&lt;=4,H22*2.06,IF('Пила УВК'!#REF!&lt;=5,H22*2.16,IF('Пила УВК'!#REF!&lt;=6,H22*2.35,IF('Пила УВК'!#REF!&lt;=7,H22*2.47,IF('Пила УВК'!#REF!&lt;=8,H22*2.51,IF('Пила УВК'!#REF!&lt;=10,H22*2.71,IF('Пила УВК'!#REF!&lt;=16,H22*4.49,IF('Пила УВК'!#REF!&lt;=20,H22*4.8,IF('Пила УВК'!#REF!&lt;=24,H22*5.11,IF('Пила УВК'!#REF!&lt;=32,H22*6.18,0))))))))))),IF(K22=3,IF('Пила УВК'!#REF!&lt;=2,H22*1.3,IF('Пила УВК'!#REF!&lt;=4,H22*1.45,IF('Пила УВК'!#REF!&lt;=5,H22*1.55,IF('Пила УВК'!#REF!&lt;=6,H22*1.74,IF('Пила УВК'!#REF!&lt;=7,H22*1.86,IF('Пила УВК'!#REF!&lt;=8,H22*1.9,IF('Пила УВК'!#REF!&lt;=10,H22*2.1,IF('Пила УВК'!#REF!&lt;=16,H22*3.27,IF('Пила УВК'!#REF!&lt;=20,H22*3.28,IF('Пила УВК'!#REF!&lt;=24,H22*3.89,IF('Пила УВК'!#REF!&lt;=32,H22*4.96,0))))))))))),0))</f>
        <v>0</v>
      </c>
    </row>
    <row r="23" spans="2:43">
      <c r="B23" s="50"/>
      <c r="C23" s="52"/>
      <c r="D23" s="52"/>
      <c r="E23" s="52"/>
      <c r="F23" s="52"/>
      <c r="G23" s="52"/>
      <c r="H23" s="52"/>
      <c r="I23" s="49"/>
      <c r="J23" s="29" t="str">
        <f t="shared" si="0"/>
        <v>---</v>
      </c>
      <c r="K23">
        <f t="shared" si="18"/>
        <v>0</v>
      </c>
      <c r="M23" t="str">
        <f t="shared" si="1"/>
        <v>---</v>
      </c>
      <c r="N23" t="str">
        <f t="shared" si="2"/>
        <v>---</v>
      </c>
      <c r="O23" s="10" t="str">
        <f t="shared" si="13"/>
        <v>---</v>
      </c>
      <c r="P23" s="40" t="str">
        <f t="shared" si="3"/>
        <v>---</v>
      </c>
      <c r="Q23" s="56" t="str">
        <f t="shared" si="4"/>
        <v>---</v>
      </c>
      <c r="R23" s="36" t="str">
        <f t="shared" si="19"/>
        <v>---</v>
      </c>
      <c r="S23" s="34"/>
      <c r="T23" s="36">
        <f t="shared" si="5"/>
        <v>0</v>
      </c>
      <c r="U23" s="36">
        <f t="shared" si="6"/>
        <v>0</v>
      </c>
      <c r="V23" s="36">
        <f>IF(K23=4,0,IF((AND('Ножницы лента'!E24&gt;1000,'Ножницы лента'!E24&lt;2000)),'Исходные данные'!$V$3*'Исходные данные'!H23*2,IF('Ножницы лента'!E24&lt;1000,$V$4*2*H23,IF('Ножницы лента'!E24&gt;2000,$V$2*2*H23,"---"))))</f>
        <v>0</v>
      </c>
      <c r="W23" s="36">
        <f t="shared" si="7"/>
        <v>0</v>
      </c>
      <c r="X23" s="39">
        <f>IF(K23=$M$2,$X$4*H23*'Пила УВК'!#REF!,IF(K23=$M$4,$X$4*H23*'Пила УВК'!#REF!,0))</f>
        <v>0</v>
      </c>
      <c r="Y23" s="36">
        <f>IF(K23=4,0,IF($K$1=C23,'Пила УВК'!#REF!*H23*$Y$4*2,IF($K$2=C23,'Пила УВК'!#REF!*H23*$Y$4,0)))</f>
        <v>0</v>
      </c>
      <c r="Z23" s="36">
        <f t="shared" si="8"/>
        <v>0</v>
      </c>
      <c r="AA23" s="29">
        <f t="shared" si="14"/>
        <v>0</v>
      </c>
      <c r="AB23" s="31">
        <f t="shared" si="15"/>
        <v>0</v>
      </c>
      <c r="AC23" s="31">
        <f t="shared" si="16"/>
        <v>0</v>
      </c>
      <c r="AE23" s="32">
        <f t="shared" si="20"/>
        <v>0</v>
      </c>
      <c r="AF23" s="32">
        <f t="shared" si="9"/>
        <v>0</v>
      </c>
      <c r="AG23" s="32">
        <f t="shared" si="10"/>
        <v>0</v>
      </c>
      <c r="AH23" s="32">
        <f t="shared" si="21"/>
        <v>0</v>
      </c>
      <c r="AI23" s="32">
        <f t="shared" si="22"/>
        <v>0</v>
      </c>
      <c r="AJ23" s="32">
        <f t="shared" si="12"/>
        <v>0</v>
      </c>
      <c r="AK23" s="32">
        <f t="shared" si="17"/>
        <v>0</v>
      </c>
      <c r="AL23" s="32"/>
      <c r="AM23" s="32">
        <f>IF(K23=1,'Пила УВК'!M24*'Исходные данные'!$AM$4,IF(K23=3,'Пила УВК'!M24*'Исходные данные'!$AM$4,0))</f>
        <v>0</v>
      </c>
      <c r="AO23">
        <f>IF(K23=2,IF('Пила УВК'!#REF!=1,0.6*'Исходные данные'!H23,IF('Пила УВК'!#REF!=2,1.5*'Исходные данные'!H23,IF('Пила УВК'!#REF!=3,1.16*'Исходные данные'!H23,IF('Пила УВК'!#REF!=4,1.34*'Исходные данные'!H23,IF('Пила УВК'!#REF!=6,1.66*'Исходные данные'!H23,IF('Пила УВК'!#REF!=7,1.82*'Исходные данные'!H23,IF('Пила УВК'!#REF!=8,1.98*'Исходные данные'!H23,IF('Пила УВК'!#REF!=9,2.14*'Исходные данные'!H23,IF('Пила УВК'!#REF!=10,2.3*'Исходные данные'!H23,IF('Пила УВК'!#REF!=11,2.46*'Исходные данные'!H23,IF('Пила УВК'!#REF!=12,2.62*'Исходные данные'!H23,IF('Пила УВК'!#REF!=13,2.78*'Исходные данные'!H23,IF('Пила УВК'!#REF!=15,3.1*'Исходные данные'!H23,0))))))))))))),IF(K23=4,IF('Пила УВК'!#REF!=1,0.6*'Исходные данные'!H23,IF('Пила УВК'!#REF!=5,1.5*'Исходные данные'!H23,IF('Пила УВК'!#REF!=3,1.16*'Исходные данные'!H23,IF('Пила УВК'!#REF!=4,1.34*'Исходные данные'!H23,IF('Пила УВК'!#REF!=6,1.66*'Исходные данные'!H23,IF('Пила УВК'!#REF!=7,1.82*'Исходные данные'!H23,IF('Пила УВК'!#REF!=8,1.98*'Исходные данные'!H23,IF('Пила УВК'!#REF!=9,2.14*'Исходные данные'!H23,IF('Пила УВК'!#REF!=10,2.3*'Исходные данные'!H23,IF('Пила УВК'!#REF!=11,2.46*'Исходные данные'!H23,IF('Пила УВК'!#REF!=12,2.62*'Исходные данные'!H23,IF('Пила УВК'!#REF!=13,2.78*'Исходные данные'!H23,IF('Пила УВК'!#REF!=15,3.1*'Исходные данные'!H23,0))))))))))))),0))</f>
        <v>0</v>
      </c>
      <c r="AQ23">
        <f>IF(K23=1,IF('Пила УВК'!#REF!&lt;=2,H23*1.91,IF('Пила УВК'!#REF!&lt;=4,H23*2.06,IF('Пила УВК'!#REF!&lt;=5,H23*2.16,IF('Пила УВК'!#REF!&lt;=6,H23*2.35,IF('Пила УВК'!#REF!&lt;=7,H23*2.47,IF('Пила УВК'!#REF!&lt;=8,H23*2.51,IF('Пила УВК'!#REF!&lt;=10,H23*2.71,IF('Пила УВК'!#REF!&lt;=16,H23*4.49,IF('Пила УВК'!#REF!&lt;=20,H23*4.8,IF('Пила УВК'!#REF!&lt;=24,H23*5.11,IF('Пила УВК'!#REF!&lt;=32,H23*6.18,0))))))))))),IF(K23=3,IF('Пила УВК'!#REF!&lt;=2,H23*1.3,IF('Пила УВК'!#REF!&lt;=4,H23*1.45,IF('Пила УВК'!#REF!&lt;=5,H23*1.55,IF('Пила УВК'!#REF!&lt;=6,H23*1.74,IF('Пила УВК'!#REF!&lt;=7,H23*1.86,IF('Пила УВК'!#REF!&lt;=8,H23*1.9,IF('Пила УВК'!#REF!&lt;=10,H23*2.1,IF('Пила УВК'!#REF!&lt;=16,H23*3.27,IF('Пила УВК'!#REF!&lt;=20,H23*3.28,IF('Пила УВК'!#REF!&lt;=24,H23*3.89,IF('Пила УВК'!#REF!&lt;=32,H23*4.96,0))))))))))),0))</f>
        <v>0</v>
      </c>
    </row>
    <row r="24" spans="2:43">
      <c r="B24" s="50"/>
      <c r="C24" s="52"/>
      <c r="D24" s="52"/>
      <c r="E24" s="52"/>
      <c r="F24" s="52"/>
      <c r="G24" s="52"/>
      <c r="H24" s="52"/>
      <c r="I24" s="49"/>
      <c r="J24" s="29" t="str">
        <f t="shared" si="0"/>
        <v>---</v>
      </c>
      <c r="K24">
        <f t="shared" si="18"/>
        <v>0</v>
      </c>
      <c r="M24" t="str">
        <f t="shared" si="1"/>
        <v>---</v>
      </c>
      <c r="N24" t="str">
        <f t="shared" si="2"/>
        <v>---</v>
      </c>
      <c r="O24" s="10" t="str">
        <f t="shared" si="13"/>
        <v>---</v>
      </c>
      <c r="P24" s="40" t="str">
        <f t="shared" si="3"/>
        <v>---</v>
      </c>
      <c r="Q24" s="56" t="str">
        <f t="shared" si="4"/>
        <v>---</v>
      </c>
      <c r="R24" s="36" t="str">
        <f t="shared" si="19"/>
        <v>---</v>
      </c>
      <c r="S24" s="34"/>
      <c r="T24" s="36">
        <f t="shared" si="5"/>
        <v>0</v>
      </c>
      <c r="U24" s="36">
        <f t="shared" si="6"/>
        <v>0</v>
      </c>
      <c r="V24" s="36">
        <f>IF(K24=4,0,IF((AND('Ножницы лента'!E25&gt;1000,'Ножницы лента'!E25&lt;2000)),'Исходные данные'!$V$3*'Исходные данные'!H24*2,IF('Ножницы лента'!E25&lt;1000,$V$4*2*H24,IF('Ножницы лента'!E25&gt;2000,$V$2*2*H24,"---"))))</f>
        <v>0</v>
      </c>
      <c r="W24" s="36">
        <f t="shared" si="7"/>
        <v>0</v>
      </c>
      <c r="X24" s="39">
        <f>IF(K24=$M$2,$X$4*H24*'Пила УВК'!#REF!,IF(K24=$M$4,$X$4*H24*'Пила УВК'!#REF!,0))</f>
        <v>0</v>
      </c>
      <c r="Y24" s="36">
        <f>IF(K24=4,0,IF($K$1=C24,'Пила УВК'!#REF!*H24*$Y$4*2,IF($K$2=C24,'Пила УВК'!#REF!*H24*$Y$4,0)))</f>
        <v>0</v>
      </c>
      <c r="Z24" s="36">
        <f t="shared" si="8"/>
        <v>0</v>
      </c>
      <c r="AA24" s="29">
        <f t="shared" si="14"/>
        <v>0</v>
      </c>
      <c r="AB24" s="31">
        <f t="shared" si="15"/>
        <v>0</v>
      </c>
      <c r="AC24" s="31">
        <f t="shared" si="16"/>
        <v>0</v>
      </c>
      <c r="AE24" s="32">
        <f t="shared" si="20"/>
        <v>0</v>
      </c>
      <c r="AF24" s="32">
        <f t="shared" si="9"/>
        <v>0</v>
      </c>
      <c r="AG24" s="32">
        <f t="shared" si="10"/>
        <v>0</v>
      </c>
      <c r="AH24" s="32">
        <f t="shared" si="21"/>
        <v>0</v>
      </c>
      <c r="AI24" s="32">
        <f t="shared" si="22"/>
        <v>0</v>
      </c>
      <c r="AJ24" s="32">
        <f t="shared" si="12"/>
        <v>0</v>
      </c>
      <c r="AK24" s="32">
        <f t="shared" si="17"/>
        <v>0</v>
      </c>
      <c r="AL24" s="32"/>
      <c r="AM24" s="32">
        <f>IF(K24=1,'Пила УВК'!M25*'Исходные данные'!$AM$4,IF(K24=3,'Пила УВК'!M25*'Исходные данные'!$AM$4,0))</f>
        <v>0</v>
      </c>
      <c r="AO24">
        <f>IF(K24=2,IF('Пила УВК'!#REF!=1,0.6*'Исходные данные'!H24,IF('Пила УВК'!#REF!=2,1.5*'Исходные данные'!H24,IF('Пила УВК'!#REF!=3,1.16*'Исходные данные'!H24,IF('Пила УВК'!#REF!=4,1.34*'Исходные данные'!H24,IF('Пила УВК'!#REF!=6,1.66*'Исходные данные'!H24,IF('Пила УВК'!#REF!=7,1.82*'Исходные данные'!H24,IF('Пила УВК'!#REF!=8,1.98*'Исходные данные'!H24,IF('Пила УВК'!#REF!=9,2.14*'Исходные данные'!H24,IF('Пила УВК'!#REF!=10,2.3*'Исходные данные'!H24,IF('Пила УВК'!#REF!=11,2.46*'Исходные данные'!H24,IF('Пила УВК'!#REF!=12,2.62*'Исходные данные'!H24,IF('Пила УВК'!#REF!=13,2.78*'Исходные данные'!H24,IF('Пила УВК'!#REF!=15,3.1*'Исходные данные'!H24,0))))))))))))),IF(K24=4,IF('Пила УВК'!#REF!=1,0.6*'Исходные данные'!H24,IF('Пила УВК'!#REF!=5,1.5*'Исходные данные'!H24,IF('Пила УВК'!#REF!=3,1.16*'Исходные данные'!H24,IF('Пила УВК'!#REF!=4,1.34*'Исходные данные'!H24,IF('Пила УВК'!#REF!=6,1.66*'Исходные данные'!H24,IF('Пила УВК'!#REF!=7,1.82*'Исходные данные'!H24,IF('Пила УВК'!#REF!=8,1.98*'Исходные данные'!H24,IF('Пила УВК'!#REF!=9,2.14*'Исходные данные'!H24,IF('Пила УВК'!#REF!=10,2.3*'Исходные данные'!H24,IF('Пила УВК'!#REF!=11,2.46*'Исходные данные'!H24,IF('Пила УВК'!#REF!=12,2.62*'Исходные данные'!H24,IF('Пила УВК'!#REF!=13,2.78*'Исходные данные'!H24,IF('Пила УВК'!#REF!=15,3.1*'Исходные данные'!H24,0))))))))))))),0))</f>
        <v>0</v>
      </c>
      <c r="AQ24">
        <f>IF(K24=1,IF('Пила УВК'!#REF!&lt;=2,H24*1.91,IF('Пила УВК'!#REF!&lt;=4,H24*2.06,IF('Пила УВК'!#REF!&lt;=5,H24*2.16,IF('Пила УВК'!#REF!&lt;=6,H24*2.35,IF('Пила УВК'!#REF!&lt;=7,H24*2.47,IF('Пила УВК'!#REF!&lt;=8,H24*2.51,IF('Пила УВК'!#REF!&lt;=10,H24*2.71,IF('Пила УВК'!#REF!&lt;=16,H24*4.49,IF('Пила УВК'!#REF!&lt;=20,H24*4.8,IF('Пила УВК'!#REF!&lt;=24,H24*5.11,IF('Пила УВК'!#REF!&lt;=32,H24*6.18,0))))))))))),IF(K24=3,IF('Пила УВК'!#REF!&lt;=2,H24*1.3,IF('Пила УВК'!#REF!&lt;=4,H24*1.45,IF('Пила УВК'!#REF!&lt;=5,H24*1.55,IF('Пила УВК'!#REF!&lt;=6,H24*1.74,IF('Пила УВК'!#REF!&lt;=7,H24*1.86,IF('Пила УВК'!#REF!&lt;=8,H24*1.9,IF('Пила УВК'!#REF!&lt;=10,H24*2.1,IF('Пила УВК'!#REF!&lt;=16,H24*3.27,IF('Пила УВК'!#REF!&lt;=20,H24*3.28,IF('Пила УВК'!#REF!&lt;=24,H24*3.89,IF('Пила УВК'!#REF!&lt;=32,H24*4.96,0))))))))))),0))</f>
        <v>0</v>
      </c>
    </row>
    <row r="25" spans="2:43">
      <c r="B25" s="50"/>
      <c r="C25" s="52"/>
      <c r="D25" s="52"/>
      <c r="E25" s="52"/>
      <c r="F25" s="52"/>
      <c r="G25" s="52"/>
      <c r="H25" s="52"/>
      <c r="I25" s="49"/>
      <c r="J25" s="29" t="str">
        <f t="shared" si="0"/>
        <v>---</v>
      </c>
      <c r="K25">
        <f t="shared" si="18"/>
        <v>0</v>
      </c>
      <c r="M25" t="str">
        <f t="shared" si="1"/>
        <v>---</v>
      </c>
      <c r="N25" t="str">
        <f t="shared" si="2"/>
        <v>---</v>
      </c>
      <c r="O25" s="10" t="str">
        <f t="shared" si="13"/>
        <v>---</v>
      </c>
      <c r="P25" s="40" t="str">
        <f t="shared" si="3"/>
        <v>---</v>
      </c>
      <c r="Q25" s="56" t="str">
        <f t="shared" si="4"/>
        <v>---</v>
      </c>
      <c r="R25" s="36" t="str">
        <f t="shared" si="19"/>
        <v>---</v>
      </c>
      <c r="S25" s="34"/>
      <c r="T25" s="36">
        <f t="shared" si="5"/>
        <v>0</v>
      </c>
      <c r="U25" s="36">
        <f t="shared" si="6"/>
        <v>0</v>
      </c>
      <c r="V25" s="36">
        <f>IF(K25=4,0,IF((AND('Ножницы лента'!E26&gt;1000,'Ножницы лента'!E26&lt;2000)),'Исходные данные'!$V$3*'Исходные данные'!H25*2,IF('Ножницы лента'!E26&lt;1000,$V$4*2*H25,IF('Ножницы лента'!E26&gt;2000,$V$2*2*H25,"---"))))</f>
        <v>0</v>
      </c>
      <c r="W25" s="36">
        <f t="shared" si="7"/>
        <v>0</v>
      </c>
      <c r="X25" s="39">
        <f>IF(K25=$M$2,$X$4*H25*'Пила УВК'!#REF!,IF(K25=$M$4,$X$4*H25*'Пила УВК'!#REF!,0))</f>
        <v>0</v>
      </c>
      <c r="Y25" s="36">
        <f>IF(K25=4,0,IF($K$1=C25,'Пила УВК'!#REF!*H25*$Y$4*2,IF($K$2=C25,'Пила УВК'!#REF!*H25*$Y$4,0)))</f>
        <v>0</v>
      </c>
      <c r="Z25" s="36">
        <f t="shared" si="8"/>
        <v>0</v>
      </c>
      <c r="AA25" s="29">
        <f t="shared" si="14"/>
        <v>0</v>
      </c>
      <c r="AB25" s="31">
        <f t="shared" si="15"/>
        <v>0</v>
      </c>
      <c r="AC25" s="31">
        <f t="shared" si="16"/>
        <v>0</v>
      </c>
      <c r="AE25" s="32">
        <f t="shared" si="20"/>
        <v>0</v>
      </c>
      <c r="AF25" s="32">
        <f t="shared" si="9"/>
        <v>0</v>
      </c>
      <c r="AG25" s="32">
        <f t="shared" si="10"/>
        <v>0</v>
      </c>
      <c r="AH25" s="32">
        <f t="shared" si="21"/>
        <v>0</v>
      </c>
      <c r="AI25" s="32">
        <f t="shared" si="22"/>
        <v>0</v>
      </c>
      <c r="AJ25" s="32">
        <f t="shared" si="12"/>
        <v>0</v>
      </c>
      <c r="AK25" s="32">
        <f t="shared" si="17"/>
        <v>0</v>
      </c>
      <c r="AL25" s="32"/>
      <c r="AM25" s="32">
        <f>IF(K25=1,'Пила УВК'!M26*'Исходные данные'!$AM$4,IF(K25=3,'Пила УВК'!M26*'Исходные данные'!$AM$4,0))</f>
        <v>0</v>
      </c>
      <c r="AO25">
        <f>IF(K25=2,IF('Пила УВК'!#REF!=1,0.6*'Исходные данные'!H25,IF('Пила УВК'!#REF!=2,1.5*'Исходные данные'!H25,IF('Пила УВК'!#REF!=3,1.16*'Исходные данные'!H25,IF('Пила УВК'!#REF!=4,1.34*'Исходные данные'!H25,IF('Пила УВК'!#REF!=6,1.66*'Исходные данные'!H25,IF('Пила УВК'!#REF!=7,1.82*'Исходные данные'!H25,IF('Пила УВК'!#REF!=8,1.98*'Исходные данные'!H25,IF('Пила УВК'!#REF!=9,2.14*'Исходные данные'!H25,IF('Пила УВК'!#REF!=10,2.3*'Исходные данные'!H25,IF('Пила УВК'!#REF!=11,2.46*'Исходные данные'!H25,IF('Пила УВК'!#REF!=12,2.62*'Исходные данные'!H25,IF('Пила УВК'!#REF!=13,2.78*'Исходные данные'!H25,IF('Пила УВК'!#REF!=15,3.1*'Исходные данные'!H25,0))))))))))))),IF(K25=4,IF('Пила УВК'!#REF!=1,0.6*'Исходные данные'!H25,IF('Пила УВК'!#REF!=5,1.5*'Исходные данные'!H25,IF('Пила УВК'!#REF!=3,1.16*'Исходные данные'!H25,IF('Пила УВК'!#REF!=4,1.34*'Исходные данные'!H25,IF('Пила УВК'!#REF!=6,1.66*'Исходные данные'!H25,IF('Пила УВК'!#REF!=7,1.82*'Исходные данные'!H25,IF('Пила УВК'!#REF!=8,1.98*'Исходные данные'!H25,IF('Пила УВК'!#REF!=9,2.14*'Исходные данные'!H25,IF('Пила УВК'!#REF!=10,2.3*'Исходные данные'!H25,IF('Пила УВК'!#REF!=11,2.46*'Исходные данные'!H25,IF('Пила УВК'!#REF!=12,2.62*'Исходные данные'!H25,IF('Пила УВК'!#REF!=13,2.78*'Исходные данные'!H25,IF('Пила УВК'!#REF!=15,3.1*'Исходные данные'!H25,0))))))))))))),0))</f>
        <v>0</v>
      </c>
      <c r="AQ25">
        <f>IF(K25=1,IF('Пила УВК'!#REF!&lt;=2,H25*1.91,IF('Пила УВК'!#REF!&lt;=4,H25*2.06,IF('Пила УВК'!#REF!&lt;=5,H25*2.16,IF('Пила УВК'!#REF!&lt;=6,H25*2.35,IF('Пила УВК'!#REF!&lt;=7,H25*2.47,IF('Пила УВК'!#REF!&lt;=8,H25*2.51,IF('Пила УВК'!#REF!&lt;=10,H25*2.71,IF('Пила УВК'!#REF!&lt;=16,H25*4.49,IF('Пила УВК'!#REF!&lt;=20,H25*4.8,IF('Пила УВК'!#REF!&lt;=24,H25*5.11,IF('Пила УВК'!#REF!&lt;=32,H25*6.18,0))))))))))),IF(K25=3,IF('Пила УВК'!#REF!&lt;=2,H25*1.3,IF('Пила УВК'!#REF!&lt;=4,H25*1.45,IF('Пила УВК'!#REF!&lt;=5,H25*1.55,IF('Пила УВК'!#REF!&lt;=6,H25*1.74,IF('Пила УВК'!#REF!&lt;=7,H25*1.86,IF('Пила УВК'!#REF!&lt;=8,H25*1.9,IF('Пила УВК'!#REF!&lt;=10,H25*2.1,IF('Пила УВК'!#REF!&lt;=16,H25*3.27,IF('Пила УВК'!#REF!&lt;=20,H25*3.28,IF('Пила УВК'!#REF!&lt;=24,H25*3.89,IF('Пила УВК'!#REF!&lt;=32,H25*4.96,0))))))))))),0))</f>
        <v>0</v>
      </c>
    </row>
    <row r="26" spans="2:43">
      <c r="B26" s="50"/>
      <c r="C26" s="52"/>
      <c r="D26" s="52"/>
      <c r="E26" s="52"/>
      <c r="F26" s="52"/>
      <c r="G26" s="52"/>
      <c r="H26" s="52"/>
      <c r="I26" s="49"/>
      <c r="J26" s="29" t="str">
        <f t="shared" si="0"/>
        <v>---</v>
      </c>
      <c r="K26">
        <f t="shared" si="18"/>
        <v>0</v>
      </c>
      <c r="M26" t="str">
        <f t="shared" si="1"/>
        <v>---</v>
      </c>
      <c r="N26" t="str">
        <f t="shared" si="2"/>
        <v>---</v>
      </c>
      <c r="O26" s="10" t="str">
        <f t="shared" si="13"/>
        <v>---</v>
      </c>
      <c r="P26" s="40" t="str">
        <f t="shared" si="3"/>
        <v>---</v>
      </c>
      <c r="Q26" s="56" t="str">
        <f t="shared" si="4"/>
        <v>---</v>
      </c>
      <c r="R26" s="36" t="str">
        <f t="shared" si="19"/>
        <v>---</v>
      </c>
      <c r="S26" s="34"/>
      <c r="T26" s="36">
        <f t="shared" si="5"/>
        <v>0</v>
      </c>
      <c r="U26" s="36">
        <f t="shared" si="6"/>
        <v>0</v>
      </c>
      <c r="V26" s="36">
        <f>IF(K26=4,0,IF((AND('Ножницы лента'!E27&gt;1000,'Ножницы лента'!E27&lt;2000)),'Исходные данные'!$V$3*'Исходные данные'!H26*2,IF('Ножницы лента'!E27&lt;1000,$V$4*2*H26,IF('Ножницы лента'!E27&gt;2000,$V$2*2*H26,"---"))))</f>
        <v>0</v>
      </c>
      <c r="W26" s="36">
        <f t="shared" si="7"/>
        <v>0</v>
      </c>
      <c r="X26" s="39">
        <f>IF(K26=$M$2,$X$4*H26*'Пила УВК'!#REF!,IF(K26=$M$4,$X$4*H26*'Пила УВК'!#REF!,0))</f>
        <v>0</v>
      </c>
      <c r="Y26" s="36">
        <f>IF(K26=4,0,IF($K$1=C26,'Пила УВК'!#REF!*H26*$Y$4*2,IF($K$2=C26,'Пила УВК'!#REF!*H26*$Y$4,0)))</f>
        <v>0</v>
      </c>
      <c r="Z26" s="36">
        <f t="shared" si="8"/>
        <v>0</v>
      </c>
      <c r="AA26" s="29">
        <f t="shared" si="14"/>
        <v>0</v>
      </c>
      <c r="AB26" s="31">
        <f t="shared" si="15"/>
        <v>0</v>
      </c>
      <c r="AC26" s="31">
        <f t="shared" si="16"/>
        <v>0</v>
      </c>
      <c r="AE26" s="32">
        <f t="shared" si="20"/>
        <v>0</v>
      </c>
      <c r="AF26" s="32">
        <f t="shared" si="9"/>
        <v>0</v>
      </c>
      <c r="AG26" s="32">
        <f t="shared" si="10"/>
        <v>0</v>
      </c>
      <c r="AH26" s="32">
        <f t="shared" si="21"/>
        <v>0</v>
      </c>
      <c r="AI26" s="32">
        <f t="shared" si="22"/>
        <v>0</v>
      </c>
      <c r="AJ26" s="32">
        <f t="shared" si="12"/>
        <v>0</v>
      </c>
      <c r="AK26" s="32">
        <f t="shared" si="17"/>
        <v>0</v>
      </c>
      <c r="AL26" s="32"/>
      <c r="AM26" s="32">
        <f>IF(K26=1,'Пила УВК'!M27*'Исходные данные'!$AM$4,IF(K26=3,'Пила УВК'!M27*'Исходные данные'!$AM$4,0))</f>
        <v>0</v>
      </c>
      <c r="AO26">
        <f>IF(K26=2,IF('Пила УВК'!#REF!=1,0.6*'Исходные данные'!H26,IF('Пила УВК'!#REF!=2,1.5*'Исходные данные'!H26,IF('Пила УВК'!#REF!=3,1.16*'Исходные данные'!H26,IF('Пила УВК'!#REF!=4,1.34*'Исходные данные'!H26,IF('Пила УВК'!#REF!=6,1.66*'Исходные данные'!H26,IF('Пила УВК'!#REF!=7,1.82*'Исходные данные'!H26,IF('Пила УВК'!#REF!=8,1.98*'Исходные данные'!H26,IF('Пила УВК'!#REF!=9,2.14*'Исходные данные'!H26,IF('Пила УВК'!#REF!=10,2.3*'Исходные данные'!H26,IF('Пила УВК'!#REF!=11,2.46*'Исходные данные'!H26,IF('Пила УВК'!#REF!=12,2.62*'Исходные данные'!H26,IF('Пила УВК'!#REF!=13,2.78*'Исходные данные'!H26,IF('Пила УВК'!#REF!=15,3.1*'Исходные данные'!H26,0))))))))))))),IF(K26=4,IF('Пила УВК'!#REF!=1,0.6*'Исходные данные'!H26,IF('Пила УВК'!#REF!=5,1.5*'Исходные данные'!H26,IF('Пила УВК'!#REF!=3,1.16*'Исходные данные'!H26,IF('Пила УВК'!#REF!=4,1.34*'Исходные данные'!H26,IF('Пила УВК'!#REF!=6,1.66*'Исходные данные'!H26,IF('Пила УВК'!#REF!=7,1.82*'Исходные данные'!H26,IF('Пила УВК'!#REF!=8,1.98*'Исходные данные'!H26,IF('Пила УВК'!#REF!=9,2.14*'Исходные данные'!H26,IF('Пила УВК'!#REF!=10,2.3*'Исходные данные'!H26,IF('Пила УВК'!#REF!=11,2.46*'Исходные данные'!H26,IF('Пила УВК'!#REF!=12,2.62*'Исходные данные'!H26,IF('Пила УВК'!#REF!=13,2.78*'Исходные данные'!H26,IF('Пила УВК'!#REF!=15,3.1*'Исходные данные'!H26,0))))))))))))),0))</f>
        <v>0</v>
      </c>
      <c r="AQ26">
        <f>IF(K26=1,IF('Пила УВК'!#REF!&lt;=2,H26*1.91,IF('Пила УВК'!#REF!&lt;=4,H26*2.06,IF('Пила УВК'!#REF!&lt;=5,H26*2.16,IF('Пила УВК'!#REF!&lt;=6,H26*2.35,IF('Пила УВК'!#REF!&lt;=7,H26*2.47,IF('Пила УВК'!#REF!&lt;=8,H26*2.51,IF('Пила УВК'!#REF!&lt;=10,H26*2.71,IF('Пила УВК'!#REF!&lt;=16,H26*4.49,IF('Пила УВК'!#REF!&lt;=20,H26*4.8,IF('Пила УВК'!#REF!&lt;=24,H26*5.11,IF('Пила УВК'!#REF!&lt;=32,H26*6.18,0))))))))))),IF(K26=3,IF('Пила УВК'!#REF!&lt;=2,H26*1.3,IF('Пила УВК'!#REF!&lt;=4,H26*1.45,IF('Пила УВК'!#REF!&lt;=5,H26*1.55,IF('Пила УВК'!#REF!&lt;=6,H26*1.74,IF('Пила УВК'!#REF!&lt;=7,H26*1.86,IF('Пила УВК'!#REF!&lt;=8,H26*1.9,IF('Пила УВК'!#REF!&lt;=10,H26*2.1,IF('Пила УВК'!#REF!&lt;=16,H26*3.27,IF('Пила УВК'!#REF!&lt;=20,H26*3.28,IF('Пила УВК'!#REF!&lt;=24,H26*3.89,IF('Пила УВК'!#REF!&lt;=32,H26*4.96,0))))))))))),0))</f>
        <v>0</v>
      </c>
    </row>
    <row r="27" spans="2:43">
      <c r="B27" s="5"/>
      <c r="O27" s="10"/>
      <c r="P27" s="36" t="str">
        <f>IF(K27=1,IF(AND(315=F27, G27=590),212,IF(AND(315=F27, G27=890),212,IF(AND(315=F27, G27=1190),212,IF(AND(315=F27, G27=1490),212,IF(AND(595=F27, G27=1727),232,IF(AND(320=F27, G27=567),232,IF(AND(595=F27, G27=1790),232,IF(AND(320=F27, G27=870),232,IF(AND(320=F27, G27=570),232,IF(AND(320=F27, G27=1170),232,252)))))))))),IF(K27=3,IF(AND(315=F27, G27=590),212,IF(AND(315=F27, G27=890),212,IF(AND(315=F27, G27=1190),212,IF(AND(315=F27, G27=1490),212,IF(AND(595=F27, G27=1727),232,IF(AND(320=F27, G27=567),232,IF(AND(595=F27, G27=1790),232,IF(AND(320=F27, G27=570),232,252)))))))),"---"))</f>
        <v>---</v>
      </c>
      <c r="Q27" s="56" t="str">
        <f t="shared" si="4"/>
        <v>---</v>
      </c>
      <c r="R27" s="36" t="str">
        <f t="shared" si="19"/>
        <v>---</v>
      </c>
    </row>
    <row r="29" spans="2:43" ht="18.75">
      <c r="C29" t="s">
        <v>30</v>
      </c>
      <c r="F29" s="80" t="s">
        <v>216</v>
      </c>
      <c r="G29" s="80"/>
    </row>
    <row r="30" spans="2:43">
      <c r="V30">
        <f>SUM(V6:V26)</f>
        <v>0</v>
      </c>
      <c r="AA30">
        <f>SUM(AA6:AA26)</f>
        <v>0</v>
      </c>
      <c r="AB30">
        <f>SUM(AB6:AB26)</f>
        <v>0</v>
      </c>
      <c r="AC30">
        <f>SUM(AC6:AC26)</f>
        <v>0</v>
      </c>
      <c r="AG30">
        <f>SUM(AG6:AG26)</f>
        <v>0</v>
      </c>
      <c r="AK30">
        <f>SUM(AK6:AK26)</f>
        <v>0</v>
      </c>
      <c r="AL30" t="s">
        <v>52</v>
      </c>
      <c r="AM30">
        <f>SUM(AM6:AM26)</f>
        <v>0</v>
      </c>
      <c r="AO30">
        <f>SUM(AO6:AO26)</f>
        <v>0</v>
      </c>
      <c r="AQ30">
        <f>SUM(AQ6:AQ26)</f>
        <v>0</v>
      </c>
    </row>
    <row r="31" spans="2:43">
      <c r="F31" t="s">
        <v>201</v>
      </c>
      <c r="H31">
        <f>'Пила УВК'!F29</f>
        <v>0.313</v>
      </c>
      <c r="S31">
        <f>IF('Ножницы лента'!E7&lt;1000,$V$4*2*H6,"---")</f>
        <v>0</v>
      </c>
    </row>
    <row r="32" spans="2:43">
      <c r="C32" s="1" t="s">
        <v>23</v>
      </c>
      <c r="D32" s="1" t="s">
        <v>25</v>
      </c>
      <c r="E32" s="21"/>
      <c r="F32" t="s">
        <v>63</v>
      </c>
      <c r="H32">
        <f>AP32</f>
        <v>0</v>
      </c>
      <c r="AP32">
        <f>AO30+AQ30</f>
        <v>0</v>
      </c>
    </row>
    <row r="33" spans="3:5" ht="21" customHeight="1">
      <c r="C33" s="1" t="s">
        <v>13</v>
      </c>
      <c r="D33" s="1" t="s">
        <v>26</v>
      </c>
      <c r="E33" s="21"/>
    </row>
    <row r="34" spans="3:5">
      <c r="C34" s="1" t="s">
        <v>23</v>
      </c>
      <c r="D34" s="1" t="s">
        <v>24</v>
      </c>
      <c r="E34" s="21"/>
    </row>
  </sheetData>
  <mergeCells count="3">
    <mergeCell ref="F1:G1"/>
    <mergeCell ref="F29:G29"/>
    <mergeCell ref="B4:C4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47"/>
  <sheetViews>
    <sheetView topLeftCell="A10" workbookViewId="0">
      <selection sqref="A1:N47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4" customWidth="1"/>
    <col min="5" max="5" width="8" customWidth="1"/>
    <col min="6" max="6" width="10.5703125" style="3" customWidth="1"/>
    <col min="7" max="8" width="7.7109375" customWidth="1"/>
    <col min="9" max="9" width="10.28515625" style="3" customWidth="1"/>
    <col min="10" max="12" width="11.85546875" customWidth="1"/>
    <col min="16" max="16" width="10.42578125" customWidth="1"/>
  </cols>
  <sheetData>
    <row r="2" spans="1:31" ht="18.75">
      <c r="A2" s="92" t="s">
        <v>199</v>
      </c>
      <c r="B2" s="92"/>
      <c r="C2" s="92"/>
      <c r="D2" s="92"/>
      <c r="E2" s="92"/>
      <c r="F2" s="92"/>
      <c r="G2" s="92"/>
      <c r="H2" s="92"/>
      <c r="I2" s="92"/>
    </row>
    <row r="3" spans="1:31" ht="57" customHeight="1">
      <c r="A3" s="90" t="s">
        <v>208</v>
      </c>
      <c r="B3" s="91"/>
      <c r="C3" s="91"/>
      <c r="D3" s="91"/>
      <c r="E3" s="91"/>
      <c r="F3" s="91"/>
      <c r="G3" s="91"/>
      <c r="H3" s="91"/>
      <c r="I3" s="91"/>
    </row>
    <row r="4" spans="1:31" ht="21">
      <c r="A4" s="81" t="s">
        <v>60</v>
      </c>
      <c r="B4" s="82"/>
      <c r="C4" s="82"/>
      <c r="D4" s="35">
        <f>'Исходные данные'!F4</f>
        <v>0</v>
      </c>
    </row>
    <row r="5" spans="1:31" ht="33.75" customHeight="1">
      <c r="A5" s="85" t="s">
        <v>8</v>
      </c>
      <c r="B5" s="95" t="s">
        <v>0</v>
      </c>
      <c r="C5" s="96"/>
      <c r="D5" s="85" t="s">
        <v>209</v>
      </c>
      <c r="E5" s="85" t="s">
        <v>5</v>
      </c>
      <c r="F5" s="85" t="s">
        <v>32</v>
      </c>
      <c r="G5" s="85" t="s">
        <v>207</v>
      </c>
      <c r="H5" s="93" t="s">
        <v>5</v>
      </c>
      <c r="I5" s="85" t="s">
        <v>32</v>
      </c>
      <c r="J5" s="83" t="s">
        <v>206</v>
      </c>
      <c r="K5" s="87" t="s">
        <v>5</v>
      </c>
      <c r="L5" s="85" t="s">
        <v>32</v>
      </c>
      <c r="M5" s="83" t="s">
        <v>210</v>
      </c>
      <c r="N5" s="83" t="s">
        <v>211</v>
      </c>
    </row>
    <row r="6" spans="1:31" ht="36.75" customHeight="1">
      <c r="A6" s="86"/>
      <c r="B6" s="97"/>
      <c r="C6" s="98"/>
      <c r="D6" s="86"/>
      <c r="E6" s="86"/>
      <c r="F6" s="86"/>
      <c r="G6" s="86"/>
      <c r="H6" s="94"/>
      <c r="I6" s="86"/>
      <c r="J6" s="84"/>
      <c r="K6" s="88"/>
      <c r="L6" s="86"/>
      <c r="M6" s="84"/>
      <c r="N6" s="84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30">
      <c r="A7" s="50">
        <f>'Исходные данные'!B6</f>
        <v>0</v>
      </c>
      <c r="B7" s="18" t="s">
        <v>198</v>
      </c>
      <c r="C7" s="19"/>
      <c r="D7" s="28">
        <f>'Исходные данные'!F6</f>
        <v>0</v>
      </c>
      <c r="E7" s="66">
        <f>'Исходные данные'!H6*2</f>
        <v>0</v>
      </c>
      <c r="F7" s="59" t="s">
        <v>202</v>
      </c>
      <c r="G7" s="2">
        <f>'Исходные данные'!G6+70</f>
        <v>70</v>
      </c>
      <c r="H7" s="75">
        <f>'Исходные данные'!H6*2</f>
        <v>0</v>
      </c>
      <c r="I7" s="59" t="s">
        <v>203</v>
      </c>
      <c r="J7" s="4">
        <f>'Исходные данные'!G6-5</f>
        <v>-5</v>
      </c>
      <c r="K7" s="67">
        <v>3</v>
      </c>
      <c r="L7" s="4" t="s">
        <v>204</v>
      </c>
      <c r="M7" s="1"/>
      <c r="N7" s="1"/>
    </row>
    <row r="8" spans="1:31" ht="30">
      <c r="A8" s="50">
        <f>'Исходные данные'!B7</f>
        <v>0</v>
      </c>
      <c r="B8" s="18" t="s">
        <v>198</v>
      </c>
      <c r="C8" s="19"/>
      <c r="D8" s="78">
        <f>'Исходные данные'!F7</f>
        <v>0</v>
      </c>
      <c r="E8" s="78">
        <f>'Исходные данные'!H7*2</f>
        <v>0</v>
      </c>
      <c r="F8" s="59" t="s">
        <v>213</v>
      </c>
      <c r="G8" s="78">
        <f>'Исходные данные'!G7+70</f>
        <v>70</v>
      </c>
      <c r="H8" s="78">
        <f>'Исходные данные'!H7*2</f>
        <v>0</v>
      </c>
      <c r="I8" s="59" t="s">
        <v>202</v>
      </c>
      <c r="J8" s="4">
        <f>'Исходные данные'!G7-5</f>
        <v>-5</v>
      </c>
      <c r="K8" s="78">
        <v>5</v>
      </c>
      <c r="L8" s="4" t="s">
        <v>214</v>
      </c>
      <c r="M8" s="1"/>
      <c r="N8" s="1"/>
    </row>
    <row r="9" spans="1:31" ht="30">
      <c r="A9" s="50">
        <f>'Исходные данные'!B8</f>
        <v>0</v>
      </c>
      <c r="B9" s="18" t="s">
        <v>198</v>
      </c>
      <c r="C9" s="19"/>
      <c r="D9" s="78">
        <f>'Исходные данные'!F8</f>
        <v>0</v>
      </c>
      <c r="E9" s="78">
        <f>'Исходные данные'!H8*2</f>
        <v>0</v>
      </c>
      <c r="F9" s="59" t="s">
        <v>217</v>
      </c>
      <c r="G9" s="78">
        <f>'Исходные данные'!G8+70</f>
        <v>70</v>
      </c>
      <c r="H9" s="78">
        <f>'Исходные данные'!H8*2</f>
        <v>0</v>
      </c>
      <c r="I9" s="59" t="s">
        <v>213</v>
      </c>
      <c r="J9" s="4">
        <f>'Исходные данные'!G8-5</f>
        <v>-5</v>
      </c>
      <c r="K9" s="78">
        <v>3</v>
      </c>
      <c r="L9" s="4" t="s">
        <v>218</v>
      </c>
      <c r="M9" s="1"/>
      <c r="N9" s="1"/>
    </row>
    <row r="10" spans="1:31">
      <c r="A10" s="50">
        <f>'Исходные данные'!B9</f>
        <v>0</v>
      </c>
      <c r="B10" s="18"/>
      <c r="C10" s="19"/>
      <c r="D10" s="77"/>
      <c r="E10" s="77"/>
      <c r="F10" s="59"/>
      <c r="G10" s="77"/>
      <c r="H10" s="77"/>
      <c r="I10" s="59"/>
      <c r="J10" s="4"/>
      <c r="K10" s="77"/>
      <c r="L10" s="4"/>
      <c r="M10" s="1"/>
      <c r="N10" s="1"/>
    </row>
    <row r="11" spans="1:31">
      <c r="A11" s="50">
        <f>'Исходные данные'!B10</f>
        <v>0</v>
      </c>
      <c r="B11" s="18">
        <f>'Исходные данные'!C10</f>
        <v>0</v>
      </c>
      <c r="C11" s="19">
        <f>'Исходные данные'!D10</f>
        <v>0</v>
      </c>
      <c r="D11" s="76">
        <f>'Исходные данные'!F10</f>
        <v>0</v>
      </c>
      <c r="E11" s="76">
        <f>'Исходные данные'!H10*2</f>
        <v>0</v>
      </c>
      <c r="F11" s="59"/>
      <c r="G11" s="76">
        <f>'Исходные данные'!G10+70</f>
        <v>70</v>
      </c>
      <c r="H11" s="76">
        <f>'Исходные данные'!H10*2</f>
        <v>0</v>
      </c>
      <c r="I11" s="59" t="str">
        <f>IF('Исходные данные'!J10=1,"ОЦ",IF('Исходные данные'!J10=2,"нерж",IF('Исходные данные'!J10=3,"ОЦ",IF('Исходные данные'!J10=4,"краш","---"))))</f>
        <v>---</v>
      </c>
      <c r="J11" s="4">
        <f>'Исходные данные'!G10-5</f>
        <v>-5</v>
      </c>
      <c r="K11" s="67"/>
      <c r="L11" s="67"/>
      <c r="M11" s="1"/>
      <c r="N11" s="1"/>
    </row>
    <row r="12" spans="1:31">
      <c r="A12" s="50">
        <f>'Исходные данные'!B11</f>
        <v>0</v>
      </c>
      <c r="B12" s="18">
        <f>'Исходные данные'!C11</f>
        <v>0</v>
      </c>
      <c r="C12" s="19">
        <f>'Исходные данные'!D11</f>
        <v>0</v>
      </c>
      <c r="D12" s="76">
        <f>'Исходные данные'!F11</f>
        <v>0</v>
      </c>
      <c r="E12" s="76">
        <f>'Исходные данные'!H11*2</f>
        <v>0</v>
      </c>
      <c r="F12" s="59"/>
      <c r="G12" s="76">
        <f>'Исходные данные'!G11+70</f>
        <v>70</v>
      </c>
      <c r="H12" s="76">
        <f>'Исходные данные'!H11*2</f>
        <v>0</v>
      </c>
      <c r="I12" s="59" t="str">
        <f>IF('Исходные данные'!J11=1,"ОЦ",IF('Исходные данные'!J11=2,"нерж",IF('Исходные данные'!J11=3,"ОЦ",IF('Исходные данные'!J11=4,"краш","---"))))</f>
        <v>---</v>
      </c>
      <c r="J12" s="4">
        <f>'Исходные данные'!G11-5</f>
        <v>-5</v>
      </c>
      <c r="K12" s="67"/>
      <c r="L12" s="67"/>
      <c r="M12" s="1"/>
      <c r="N12" s="1"/>
    </row>
    <row r="13" spans="1:31">
      <c r="A13" s="50">
        <f>'Исходные данные'!B12</f>
        <v>0</v>
      </c>
      <c r="B13" s="18">
        <f>'Исходные данные'!C12</f>
        <v>0</v>
      </c>
      <c r="C13" s="19">
        <f>'Исходные данные'!D12</f>
        <v>0</v>
      </c>
      <c r="D13" s="76">
        <f>'Исходные данные'!F12</f>
        <v>0</v>
      </c>
      <c r="E13" s="76">
        <f>'Исходные данные'!H12*2</f>
        <v>0</v>
      </c>
      <c r="F13" s="59"/>
      <c r="G13" s="76">
        <f>'Исходные данные'!G12+70</f>
        <v>70</v>
      </c>
      <c r="H13" s="76">
        <f>'Исходные данные'!H12*2</f>
        <v>0</v>
      </c>
      <c r="I13" s="59" t="str">
        <f>IF('Исходные данные'!J12=1,"ОЦ",IF('Исходные данные'!J12=2,"нерж",IF('Исходные данные'!J12=3,"ОЦ",IF('Исходные данные'!J12=4,"краш","---"))))</f>
        <v>---</v>
      </c>
      <c r="J13" s="4">
        <f>'Исходные данные'!G12-5</f>
        <v>-5</v>
      </c>
      <c r="K13" s="67"/>
      <c r="L13" s="67"/>
      <c r="M13" s="1"/>
      <c r="N13" s="1"/>
    </row>
    <row r="14" spans="1:31">
      <c r="A14" s="50">
        <f>'Исходные данные'!B13</f>
        <v>0</v>
      </c>
      <c r="B14" s="18">
        <f>'Исходные данные'!C13</f>
        <v>0</v>
      </c>
      <c r="C14" s="19">
        <f>'Исходные данные'!D13</f>
        <v>0</v>
      </c>
      <c r="D14" s="76">
        <f>'Исходные данные'!F13</f>
        <v>0</v>
      </c>
      <c r="E14" s="76">
        <f>'Исходные данные'!H13*2</f>
        <v>0</v>
      </c>
      <c r="F14" s="59"/>
      <c r="G14" s="76">
        <f>'Исходные данные'!G13+70</f>
        <v>70</v>
      </c>
      <c r="H14" s="76">
        <f>'Исходные данные'!H13*2</f>
        <v>0</v>
      </c>
      <c r="I14" s="59" t="str">
        <f>IF('Исходные данные'!J13=1,"ОЦ",IF('Исходные данные'!J13=2,"нерж",IF('Исходные данные'!J13=3,"ОЦ",IF('Исходные данные'!J13=4,"краш","---"))))</f>
        <v>---</v>
      </c>
      <c r="J14" s="4">
        <f>'Исходные данные'!G13-5</f>
        <v>-5</v>
      </c>
      <c r="K14" s="67"/>
      <c r="L14" s="67"/>
      <c r="M14" s="1"/>
      <c r="N14" s="1"/>
    </row>
    <row r="15" spans="1:31">
      <c r="A15" s="50">
        <f>'Исходные данные'!B14</f>
        <v>0</v>
      </c>
      <c r="B15" s="18">
        <f>'Исходные данные'!C14</f>
        <v>0</v>
      </c>
      <c r="C15" s="19">
        <f>'Исходные данные'!D14</f>
        <v>0</v>
      </c>
      <c r="D15" s="76">
        <f>'Исходные данные'!F14</f>
        <v>0</v>
      </c>
      <c r="E15" s="76">
        <f>'Исходные данные'!H14*2</f>
        <v>0</v>
      </c>
      <c r="F15" s="59"/>
      <c r="G15" s="76">
        <f>'Исходные данные'!G14+70</f>
        <v>70</v>
      </c>
      <c r="H15" s="76">
        <f>'Исходные данные'!H14*2</f>
        <v>0</v>
      </c>
      <c r="I15" s="59" t="str">
        <f>IF('Исходные данные'!J14=1,"ОЦ",IF('Исходные данные'!J14=2,"нерж",IF('Исходные данные'!J14=3,"ОЦ",IF('Исходные данные'!J14=4,"краш","---"))))</f>
        <v>---</v>
      </c>
      <c r="J15" s="4">
        <f>'Исходные данные'!G14-5</f>
        <v>-5</v>
      </c>
      <c r="K15" s="67"/>
      <c r="L15" s="67"/>
      <c r="M15" s="1"/>
      <c r="N15" s="1"/>
    </row>
    <row r="16" spans="1:31">
      <c r="A16" s="50">
        <f>'Исходные данные'!B15</f>
        <v>0</v>
      </c>
      <c r="B16" s="18">
        <f>'Исходные данные'!C15</f>
        <v>0</v>
      </c>
      <c r="C16" s="19">
        <f>'Исходные данные'!D15</f>
        <v>0</v>
      </c>
      <c r="D16" s="76">
        <f>'Исходные данные'!F15</f>
        <v>0</v>
      </c>
      <c r="E16" s="76">
        <f>'Исходные данные'!H15*2</f>
        <v>0</v>
      </c>
      <c r="F16" s="59"/>
      <c r="G16" s="76">
        <f>'Исходные данные'!G15+70</f>
        <v>70</v>
      </c>
      <c r="H16" s="76">
        <f>'Исходные данные'!H15*2</f>
        <v>0</v>
      </c>
      <c r="I16" s="59" t="str">
        <f>IF('Исходные данные'!J15=1,"ОЦ",IF('Исходные данные'!J15=2,"нерж",IF('Исходные данные'!J15=3,"ОЦ",IF('Исходные данные'!J15=4,"краш","---"))))</f>
        <v>---</v>
      </c>
      <c r="J16" s="4">
        <f>'Исходные данные'!G15-5</f>
        <v>-5</v>
      </c>
      <c r="K16" s="67"/>
      <c r="L16" s="67"/>
      <c r="M16" s="1"/>
      <c r="N16" s="1"/>
    </row>
    <row r="17" spans="1:14">
      <c r="A17" s="50">
        <f>'Исходные данные'!B16</f>
        <v>0</v>
      </c>
      <c r="B17" s="18">
        <f>'Исходные данные'!C16</f>
        <v>0</v>
      </c>
      <c r="C17" s="19">
        <f>'Исходные данные'!D16</f>
        <v>0</v>
      </c>
      <c r="D17" s="76">
        <f>'Исходные данные'!F16</f>
        <v>0</v>
      </c>
      <c r="E17" s="76">
        <f>'Исходные данные'!H16*2</f>
        <v>0</v>
      </c>
      <c r="F17" s="59"/>
      <c r="G17" s="76">
        <f>'Исходные данные'!G16+70</f>
        <v>70</v>
      </c>
      <c r="H17" s="76">
        <f>'Исходные данные'!H16*2</f>
        <v>0</v>
      </c>
      <c r="I17" s="59" t="str">
        <f>IF('Исходные данные'!J16=1,"ОЦ",IF('Исходные данные'!J16=2,"нерж",IF('Исходные данные'!J16=3,"ОЦ",IF('Исходные данные'!J16=4,"краш","---"))))</f>
        <v>---</v>
      </c>
      <c r="J17" s="4">
        <f>'Исходные данные'!G16-5</f>
        <v>-5</v>
      </c>
      <c r="K17" s="67"/>
      <c r="L17" s="67"/>
      <c r="M17" s="1"/>
      <c r="N17" s="1"/>
    </row>
    <row r="18" spans="1:14">
      <c r="A18" s="50">
        <f>'Исходные данные'!B17</f>
        <v>0</v>
      </c>
      <c r="B18" s="18">
        <f>'Исходные данные'!C17</f>
        <v>0</v>
      </c>
      <c r="C18" s="19">
        <f>'Исходные данные'!D17</f>
        <v>0</v>
      </c>
      <c r="D18" s="76">
        <f>'Исходные данные'!F17</f>
        <v>0</v>
      </c>
      <c r="E18" s="76">
        <f>'Исходные данные'!H17*2</f>
        <v>0</v>
      </c>
      <c r="F18" s="59"/>
      <c r="G18" s="76">
        <f>'Исходные данные'!G17+70</f>
        <v>70</v>
      </c>
      <c r="H18" s="76">
        <f>'Исходные данные'!H17*2</f>
        <v>0</v>
      </c>
      <c r="I18" s="59" t="str">
        <f>IF('Исходные данные'!J17=1,"ОЦ",IF('Исходные данные'!J17=2,"нерж",IF('Исходные данные'!J17=3,"ОЦ",IF('Исходные данные'!J17=4,"краш","---"))))</f>
        <v>---</v>
      </c>
      <c r="J18" s="4">
        <f>'Исходные данные'!G17-5</f>
        <v>-5</v>
      </c>
      <c r="K18" s="67"/>
      <c r="L18" s="67"/>
      <c r="M18" s="1"/>
      <c r="N18" s="1"/>
    </row>
    <row r="19" spans="1:14">
      <c r="A19" s="50">
        <f>'Исходные данные'!B18</f>
        <v>0</v>
      </c>
      <c r="B19" s="18">
        <f>'Исходные данные'!C18</f>
        <v>0</v>
      </c>
      <c r="C19" s="19">
        <f>'Исходные данные'!D18</f>
        <v>0</v>
      </c>
      <c r="D19" s="76">
        <f>'Исходные данные'!F18</f>
        <v>0</v>
      </c>
      <c r="E19" s="76">
        <f>'Исходные данные'!H18*2</f>
        <v>0</v>
      </c>
      <c r="F19" s="59"/>
      <c r="G19" s="76">
        <f>'Исходные данные'!G18+70</f>
        <v>70</v>
      </c>
      <c r="H19" s="76">
        <f>'Исходные данные'!H18*2</f>
        <v>0</v>
      </c>
      <c r="I19" s="59" t="str">
        <f>IF('Исходные данные'!J18=1,"ОЦ",IF('Исходные данные'!J18=2,"нерж",IF('Исходные данные'!J18=3,"ОЦ",IF('Исходные данные'!J18=4,"краш","---"))))</f>
        <v>---</v>
      </c>
      <c r="J19" s="4">
        <f>'Исходные данные'!G18-5</f>
        <v>-5</v>
      </c>
      <c r="K19" s="67"/>
      <c r="L19" s="67"/>
      <c r="M19" s="1"/>
      <c r="N19" s="1"/>
    </row>
    <row r="20" spans="1:14">
      <c r="A20" s="50">
        <f>'Исходные данные'!B19</f>
        <v>0</v>
      </c>
      <c r="B20" s="18">
        <f>'Исходные данные'!C19</f>
        <v>0</v>
      </c>
      <c r="C20" s="19">
        <f>'Исходные данные'!D19</f>
        <v>0</v>
      </c>
      <c r="D20" s="76">
        <f>'Исходные данные'!F19</f>
        <v>0</v>
      </c>
      <c r="E20" s="76">
        <f>'Исходные данные'!H19*2</f>
        <v>0</v>
      </c>
      <c r="F20" s="59"/>
      <c r="G20" s="76">
        <f>'Исходные данные'!G19+70</f>
        <v>70</v>
      </c>
      <c r="H20" s="76">
        <f>'Исходные данные'!H19*2</f>
        <v>0</v>
      </c>
      <c r="I20" s="59" t="str">
        <f>IF('Исходные данные'!J19=1,"ОЦ",IF('Исходные данные'!J19=2,"нерж",IF('Исходные данные'!J19=3,"ОЦ",IF('Исходные данные'!J19=4,"краш","---"))))</f>
        <v>---</v>
      </c>
      <c r="J20" s="4">
        <f>'Исходные данные'!G19-5</f>
        <v>-5</v>
      </c>
      <c r="K20" s="67"/>
      <c r="L20" s="67"/>
      <c r="M20" s="1"/>
      <c r="N20" s="1"/>
    </row>
    <row r="21" spans="1:14">
      <c r="A21" s="50">
        <f>'Исходные данные'!B20</f>
        <v>0</v>
      </c>
      <c r="B21" s="18">
        <f>'Исходные данные'!C20</f>
        <v>0</v>
      </c>
      <c r="C21" s="19">
        <f>'Исходные данные'!D20</f>
        <v>0</v>
      </c>
      <c r="D21" s="76">
        <f>'Исходные данные'!F20</f>
        <v>0</v>
      </c>
      <c r="E21" s="76">
        <f>'Исходные данные'!H20*2</f>
        <v>0</v>
      </c>
      <c r="F21" s="59"/>
      <c r="G21" s="76">
        <f>'Исходные данные'!G20+70</f>
        <v>70</v>
      </c>
      <c r="H21" s="76">
        <f>'Исходные данные'!H20*2</f>
        <v>0</v>
      </c>
      <c r="I21" s="59" t="str">
        <f>IF('Исходные данные'!J20=1,"ОЦ",IF('Исходные данные'!J20=2,"нерж",IF('Исходные данные'!J20=3,"ОЦ",IF('Исходные данные'!J20=4,"краш","---"))))</f>
        <v>---</v>
      </c>
      <c r="J21" s="4">
        <f>'Исходные данные'!G20-5</f>
        <v>-5</v>
      </c>
      <c r="K21" s="67"/>
      <c r="L21" s="67"/>
      <c r="M21" s="1"/>
      <c r="N21" s="1"/>
    </row>
    <row r="22" spans="1:14">
      <c r="A22" s="50">
        <f>'Исходные данные'!B21</f>
        <v>0</v>
      </c>
      <c r="B22" s="18">
        <f>'Исходные данные'!C21</f>
        <v>0</v>
      </c>
      <c r="C22" s="19">
        <f>'Исходные данные'!D21</f>
        <v>0</v>
      </c>
      <c r="D22" s="76">
        <f>'Исходные данные'!F21</f>
        <v>0</v>
      </c>
      <c r="E22" s="76">
        <f>'Исходные данные'!H21*2</f>
        <v>0</v>
      </c>
      <c r="F22" s="59"/>
      <c r="G22" s="76">
        <f>'Исходные данные'!G21+70</f>
        <v>70</v>
      </c>
      <c r="H22" s="76">
        <f>'Исходные данные'!H21*2</f>
        <v>0</v>
      </c>
      <c r="I22" s="59" t="str">
        <f>IF('Исходные данные'!J21=1,"ОЦ",IF('Исходные данные'!J21=2,"нерж",IF('Исходные данные'!J21=3,"ОЦ",IF('Исходные данные'!J21=4,"краш","---"))))</f>
        <v>---</v>
      </c>
      <c r="J22" s="4">
        <f>'Исходные данные'!G21-5</f>
        <v>-5</v>
      </c>
      <c r="K22" s="67"/>
      <c r="L22" s="67"/>
      <c r="M22" s="1"/>
      <c r="N22" s="1"/>
    </row>
    <row r="23" spans="1:14">
      <c r="A23" s="50">
        <f>'Исходные данные'!B22</f>
        <v>0</v>
      </c>
      <c r="B23" s="18">
        <f>'Исходные данные'!C22</f>
        <v>0</v>
      </c>
      <c r="C23" s="19">
        <f>'Исходные данные'!D22</f>
        <v>0</v>
      </c>
      <c r="D23" s="76">
        <f>'Исходные данные'!F22</f>
        <v>0</v>
      </c>
      <c r="E23" s="76">
        <f>'Исходные данные'!H22*2</f>
        <v>0</v>
      </c>
      <c r="F23" s="59"/>
      <c r="G23" s="76">
        <f>'Исходные данные'!G22+70</f>
        <v>70</v>
      </c>
      <c r="H23" s="76">
        <f>'Исходные данные'!H22*2</f>
        <v>0</v>
      </c>
      <c r="I23" s="59" t="str">
        <f>IF('Исходные данные'!J22=1,"ОЦ",IF('Исходные данные'!J22=2,"нерж",IF('Исходные данные'!J22=3,"ОЦ",IF('Исходные данные'!J22=4,"краш","---"))))</f>
        <v>---</v>
      </c>
      <c r="J23" s="4">
        <f>'Исходные данные'!G22-5</f>
        <v>-5</v>
      </c>
      <c r="K23" s="67"/>
      <c r="L23" s="67"/>
      <c r="M23" s="1"/>
      <c r="N23" s="1"/>
    </row>
    <row r="24" spans="1:14">
      <c r="A24" s="50">
        <f>'Исходные данные'!B23</f>
        <v>0</v>
      </c>
      <c r="B24" s="18">
        <f>'Исходные данные'!C23</f>
        <v>0</v>
      </c>
      <c r="C24" s="19">
        <f>'Исходные данные'!D23</f>
        <v>0</v>
      </c>
      <c r="D24" s="76">
        <f>'Исходные данные'!F23</f>
        <v>0</v>
      </c>
      <c r="E24" s="76">
        <f>'Исходные данные'!H23*2</f>
        <v>0</v>
      </c>
      <c r="F24" s="59"/>
      <c r="G24" s="76">
        <f>'Исходные данные'!G23+70</f>
        <v>70</v>
      </c>
      <c r="H24" s="76">
        <f>'Исходные данные'!H23*2</f>
        <v>0</v>
      </c>
      <c r="I24" s="59" t="str">
        <f>IF('Исходные данные'!J23=1,"ОЦ",IF('Исходные данные'!J23=2,"нерж",IF('Исходные данные'!J23=3,"ОЦ",IF('Исходные данные'!J23=4,"краш","---"))))</f>
        <v>---</v>
      </c>
      <c r="J24" s="4">
        <f>'Исходные данные'!G23-5</f>
        <v>-5</v>
      </c>
      <c r="K24" s="67"/>
      <c r="L24" s="67"/>
      <c r="M24" s="1"/>
      <c r="N24" s="1"/>
    </row>
    <row r="25" spans="1:14">
      <c r="A25" s="50">
        <f>'Исходные данные'!B24</f>
        <v>0</v>
      </c>
      <c r="B25" s="18">
        <f>'Исходные данные'!C24</f>
        <v>0</v>
      </c>
      <c r="C25" s="19">
        <f>'Исходные данные'!D24</f>
        <v>0</v>
      </c>
      <c r="D25" s="76">
        <f>'Исходные данные'!F24</f>
        <v>0</v>
      </c>
      <c r="E25" s="76">
        <f>'Исходные данные'!H24*2</f>
        <v>0</v>
      </c>
      <c r="F25" s="59"/>
      <c r="G25" s="76">
        <f>'Исходные данные'!G24+70</f>
        <v>70</v>
      </c>
      <c r="H25" s="76">
        <f>'Исходные данные'!H24*2</f>
        <v>0</v>
      </c>
      <c r="I25" s="59" t="str">
        <f>IF('Исходные данные'!J24=1,"ОЦ",IF('Исходные данные'!J24=2,"нерж",IF('Исходные данные'!J24=3,"ОЦ",IF('Исходные данные'!J24=4,"краш","---"))))</f>
        <v>---</v>
      </c>
      <c r="J25" s="4">
        <f>'Исходные данные'!G24-5</f>
        <v>-5</v>
      </c>
      <c r="K25" s="67"/>
      <c r="L25" s="67"/>
      <c r="M25" s="1"/>
      <c r="N25" s="1"/>
    </row>
    <row r="26" spans="1:14">
      <c r="A26" s="50">
        <f>'Исходные данные'!B25</f>
        <v>0</v>
      </c>
      <c r="B26" s="18">
        <f>'Исходные данные'!C25</f>
        <v>0</v>
      </c>
      <c r="C26" s="19">
        <f>'Исходные данные'!D25</f>
        <v>0</v>
      </c>
      <c r="D26" s="76">
        <f>'Исходные данные'!F25</f>
        <v>0</v>
      </c>
      <c r="E26" s="76">
        <f>'Исходные данные'!H25*2</f>
        <v>0</v>
      </c>
      <c r="F26" s="59"/>
      <c r="G26" s="76">
        <f>'Исходные данные'!G25+70</f>
        <v>70</v>
      </c>
      <c r="H26" s="76">
        <f>'Исходные данные'!H25*2</f>
        <v>0</v>
      </c>
      <c r="I26" s="59" t="str">
        <f>IF('Исходные данные'!J25=1,"ОЦ",IF('Исходные данные'!J25=2,"нерж",IF('Исходные данные'!J25=3,"ОЦ",IF('Исходные данные'!J25=4,"краш","---"))))</f>
        <v>---</v>
      </c>
      <c r="J26" s="4">
        <f>'Исходные данные'!G25-5</f>
        <v>-5</v>
      </c>
      <c r="K26" s="67"/>
      <c r="L26" s="67"/>
      <c r="M26" s="1"/>
      <c r="N26" s="1"/>
    </row>
    <row r="27" spans="1:14">
      <c r="A27" s="50">
        <f>'Исходные данные'!B26</f>
        <v>0</v>
      </c>
      <c r="B27" s="18">
        <f>'Исходные данные'!C26</f>
        <v>0</v>
      </c>
      <c r="C27" s="19">
        <f>'Исходные данные'!D26</f>
        <v>0</v>
      </c>
      <c r="D27" s="76">
        <f>'Исходные данные'!F26</f>
        <v>0</v>
      </c>
      <c r="E27" s="76">
        <f>'Исходные данные'!H26*2</f>
        <v>0</v>
      </c>
      <c r="F27" s="59"/>
      <c r="G27" s="76">
        <f>'Исходные данные'!G26+70</f>
        <v>70</v>
      </c>
      <c r="H27" s="76">
        <f>'Исходные данные'!H26*2</f>
        <v>0</v>
      </c>
      <c r="I27" s="59" t="str">
        <f>IF('Исходные данные'!J26=1,"ОЦ",IF('Исходные данные'!J26=2,"нерж",IF('Исходные данные'!J26=3,"ОЦ",IF('Исходные данные'!J26=4,"краш","---"))))</f>
        <v>---</v>
      </c>
      <c r="J27" s="4">
        <f>'Исходные данные'!G26-5</f>
        <v>-5</v>
      </c>
      <c r="K27" s="67"/>
      <c r="L27" s="67"/>
      <c r="M27" s="1"/>
      <c r="N27" s="1"/>
    </row>
    <row r="29" spans="1:14">
      <c r="B29" t="s">
        <v>33</v>
      </c>
      <c r="D29" s="33" t="s">
        <v>200</v>
      </c>
      <c r="E29" s="33"/>
      <c r="F29" s="33">
        <v>0.313</v>
      </c>
      <c r="G29" s="33"/>
      <c r="I29" s="3" t="s">
        <v>52</v>
      </c>
    </row>
    <row r="30" spans="1:14">
      <c r="D30" s="33"/>
      <c r="E30" s="63"/>
      <c r="F30" s="79"/>
      <c r="G30" s="79"/>
      <c r="H30" s="79"/>
    </row>
    <row r="31" spans="1:14">
      <c r="D31" s="33"/>
      <c r="E31" s="79"/>
      <c r="F31" s="79"/>
      <c r="G31" s="79"/>
    </row>
    <row r="33" spans="1:9" ht="18.75">
      <c r="B33" s="23" t="s">
        <v>30</v>
      </c>
      <c r="C33" s="23"/>
      <c r="D33" s="24" t="s">
        <v>212</v>
      </c>
      <c r="E33" s="24"/>
      <c r="F33" s="69"/>
      <c r="G33" s="65"/>
    </row>
    <row r="35" spans="1:9">
      <c r="B35" t="s">
        <v>65</v>
      </c>
    </row>
    <row r="36" spans="1:9">
      <c r="A36" s="47"/>
      <c r="B36" s="47"/>
      <c r="C36" s="47"/>
      <c r="D36" s="47"/>
      <c r="E36" s="47"/>
      <c r="F36" s="70"/>
      <c r="G36" s="47"/>
      <c r="H36" s="47"/>
      <c r="I36" s="70"/>
    </row>
    <row r="37" spans="1:9" ht="21">
      <c r="A37" t="s">
        <v>189</v>
      </c>
      <c r="B37" s="45"/>
      <c r="C37" s="45"/>
      <c r="D37" s="45"/>
      <c r="E37" s="45"/>
      <c r="F37" s="71"/>
      <c r="G37" s="45"/>
      <c r="H37" s="46" t="s">
        <v>199</v>
      </c>
      <c r="I37" s="72"/>
    </row>
    <row r="38" spans="1:9" ht="18.75">
      <c r="B38" s="46" t="s">
        <v>70</v>
      </c>
      <c r="C38" s="46"/>
      <c r="D38" s="46"/>
      <c r="E38" s="46"/>
      <c r="F38" s="72"/>
      <c r="G38" s="44">
        <f>D4</f>
        <v>0</v>
      </c>
      <c r="H38" s="44"/>
    </row>
    <row r="39" spans="1:9">
      <c r="B39" s="89"/>
      <c r="C39" s="89"/>
      <c r="D39" s="89"/>
      <c r="E39" s="64"/>
      <c r="F39" s="73"/>
      <c r="G39" s="44"/>
      <c r="H39" s="44"/>
    </row>
    <row r="40" spans="1:9">
      <c r="B40" s="44" t="s">
        <v>71</v>
      </c>
      <c r="C40" s="44"/>
      <c r="D40" s="44"/>
      <c r="E40" s="44"/>
      <c r="F40" s="74"/>
      <c r="G40" s="44"/>
      <c r="H40" s="44"/>
    </row>
    <row r="41" spans="1:9">
      <c r="B41" s="44"/>
      <c r="C41" s="44"/>
      <c r="D41" s="44"/>
      <c r="E41" s="44"/>
      <c r="F41" s="74"/>
      <c r="G41" s="44"/>
      <c r="H41" s="44"/>
    </row>
    <row r="42" spans="1:9">
      <c r="B42" s="44" t="s">
        <v>200</v>
      </c>
      <c r="C42" s="44" t="s">
        <v>72</v>
      </c>
      <c r="D42" s="44"/>
      <c r="E42" s="44"/>
      <c r="F42" s="74"/>
      <c r="G42" s="44" t="s">
        <v>205</v>
      </c>
      <c r="H42" s="44"/>
    </row>
    <row r="43" spans="1:9">
      <c r="B43" s="44"/>
      <c r="C43" s="44"/>
      <c r="D43" s="44"/>
      <c r="E43" s="44"/>
      <c r="F43" s="74"/>
      <c r="G43" s="44"/>
      <c r="H43" s="44"/>
    </row>
    <row r="44" spans="1:9">
      <c r="B44" s="44"/>
      <c r="C44" s="44"/>
      <c r="D44" s="44"/>
      <c r="E44" s="44"/>
      <c r="F44" s="74"/>
      <c r="G44" s="44"/>
      <c r="H44" s="44"/>
    </row>
    <row r="45" spans="1:9">
      <c r="B45" s="44"/>
      <c r="C45" s="44"/>
      <c r="D45" s="44"/>
      <c r="E45" s="44"/>
      <c r="F45" s="74"/>
      <c r="G45" s="44"/>
      <c r="H45" s="44"/>
    </row>
    <row r="46" spans="1:9">
      <c r="B46" s="44" t="s">
        <v>74</v>
      </c>
      <c r="C46" s="44"/>
      <c r="D46" s="44"/>
      <c r="E46" s="44"/>
      <c r="F46" s="74"/>
      <c r="G46" s="44" t="s">
        <v>205</v>
      </c>
      <c r="H46" s="44"/>
    </row>
    <row r="47" spans="1:9">
      <c r="B47" s="44"/>
      <c r="C47" s="44"/>
      <c r="D47" s="44"/>
      <c r="E47" s="44"/>
      <c r="F47" s="74"/>
      <c r="G47" s="44"/>
      <c r="H47" s="44"/>
    </row>
  </sheetData>
  <mergeCells count="19">
    <mergeCell ref="B39:D39"/>
    <mergeCell ref="A3:I3"/>
    <mergeCell ref="A2:I2"/>
    <mergeCell ref="G5:G6"/>
    <mergeCell ref="I5:I6"/>
    <mergeCell ref="H5:H6"/>
    <mergeCell ref="A5:A6"/>
    <mergeCell ref="D5:D6"/>
    <mergeCell ref="B5:C6"/>
    <mergeCell ref="E31:G31"/>
    <mergeCell ref="A4:C4"/>
    <mergeCell ref="F30:H30"/>
    <mergeCell ref="M5:M6"/>
    <mergeCell ref="N5:N6"/>
    <mergeCell ref="E5:E6"/>
    <mergeCell ref="F5:F6"/>
    <mergeCell ref="J5:J6"/>
    <mergeCell ref="K5:K6"/>
    <mergeCell ref="L5:L6"/>
  </mergeCells>
  <pageMargins left="0.70866141732283472" right="0.70866141732283472" top="3.937007874015748E-2" bottom="3.937007874015748E-2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43"/>
  <sheetViews>
    <sheetView workbookViewId="0">
      <selection activeCell="C4" sqref="C4:D4"/>
    </sheetView>
  </sheetViews>
  <sheetFormatPr defaultRowHeight="15"/>
  <cols>
    <col min="1" max="1" width="10.28515625" customWidth="1"/>
    <col min="2" max="2" width="11.7109375" customWidth="1"/>
    <col min="3" max="3" width="4.42578125" customWidth="1"/>
    <col min="4" max="4" width="5" customWidth="1"/>
    <col min="5" max="5" width="8.42578125" customWidth="1"/>
    <col min="6" max="6" width="9.42578125" customWidth="1"/>
    <col min="7" max="7" width="6.5703125" customWidth="1"/>
    <col min="8" max="10" width="12.7109375" customWidth="1"/>
    <col min="11" max="11" width="16.5703125" customWidth="1"/>
  </cols>
  <sheetData>
    <row r="2" spans="1:16" ht="18.75">
      <c r="A2" s="92" t="s">
        <v>193</v>
      </c>
      <c r="B2" s="92"/>
      <c r="C2" s="92"/>
      <c r="D2" s="92"/>
      <c r="E2" s="92"/>
      <c r="F2" s="92"/>
      <c r="G2" s="92"/>
    </row>
    <row r="3" spans="1:16" ht="18.75">
      <c r="A3" s="92" t="s">
        <v>196</v>
      </c>
      <c r="B3" s="92"/>
      <c r="C3" s="92"/>
      <c r="D3" s="92"/>
      <c r="E3" s="92"/>
      <c r="F3" s="92"/>
      <c r="G3" s="92"/>
    </row>
    <row r="4" spans="1:16" ht="24" thickBot="1">
      <c r="A4" s="103" t="s">
        <v>68</v>
      </c>
      <c r="B4" s="103"/>
      <c r="C4" s="104" t="e">
        <f>#REF!</f>
        <v>#REF!</v>
      </c>
      <c r="D4" s="104"/>
    </row>
    <row r="5" spans="1:16" ht="53.25" customHeight="1">
      <c r="A5" s="100" t="s">
        <v>8</v>
      </c>
      <c r="B5" s="100" t="s">
        <v>0</v>
      </c>
      <c r="C5" s="100"/>
      <c r="D5" s="101" t="s">
        <v>16</v>
      </c>
      <c r="E5" s="101"/>
      <c r="F5" s="101"/>
      <c r="G5" s="101"/>
      <c r="H5" s="100" t="s">
        <v>32</v>
      </c>
      <c r="I5" s="105" t="s">
        <v>190</v>
      </c>
      <c r="J5" s="106"/>
      <c r="K5" s="100" t="s">
        <v>188</v>
      </c>
    </row>
    <row r="6" spans="1:16" ht="30" customHeight="1">
      <c r="A6" s="100"/>
      <c r="B6" s="100"/>
      <c r="C6" s="100"/>
      <c r="D6" s="102" t="s">
        <v>9</v>
      </c>
      <c r="E6" s="96"/>
      <c r="F6" s="12" t="s">
        <v>10</v>
      </c>
      <c r="G6" s="25" t="s">
        <v>6</v>
      </c>
      <c r="H6" s="100"/>
      <c r="I6" s="57" t="s">
        <v>191</v>
      </c>
      <c r="J6" s="57" t="s">
        <v>192</v>
      </c>
      <c r="K6" s="100"/>
    </row>
    <row r="7" spans="1:16" ht="21.75" customHeight="1">
      <c r="A7" s="2">
        <f>'Исходные данные'!B6</f>
        <v>0</v>
      </c>
      <c r="B7" s="2">
        <f>'Исходные данные'!C6</f>
        <v>0</v>
      </c>
      <c r="C7" s="2">
        <f>'Исходные данные'!D6</f>
        <v>0</v>
      </c>
      <c r="D7" s="4" t="s">
        <v>7</v>
      </c>
      <c r="E7" s="7" t="str">
        <f>IF('Исходные данные'!K6=1,IF('Исходные данные'!B6&lt;400000,'Исходные данные'!G6+40,IF('Исходные данные'!Q6=212,'Исходные данные'!G6+80,'Исходные данные'!G6+40)),"---")</f>
        <v>---</v>
      </c>
      <c r="F7" s="7" t="str">
        <f>IF('Исходные данные'!K6=1,IF('Исходные данные'!Q6=212,165,171.4),"---")</f>
        <v>---</v>
      </c>
      <c r="G7" s="16">
        <f>'Исходные данные'!H6*2</f>
        <v>0</v>
      </c>
      <c r="H7" s="30" t="str">
        <f>IF('Исходные данные'!J6=1,"ОЦ",IF('Исходные данные'!J6=2,"нерж",IF('Исходные данные'!J6=3,"ОЦ",IF('Исходные данные'!J6=4,"ОЦ 0,7 краш","---"))))</f>
        <v>---</v>
      </c>
      <c r="I7" s="42">
        <v>2.8000000000000001E-2</v>
      </c>
      <c r="J7" s="42">
        <v>0.05</v>
      </c>
      <c r="K7" s="1" t="str">
        <f>IF(F7=165,"кожух с 8 углами","---")</f>
        <v>---</v>
      </c>
      <c r="P7">
        <f>IF('Исходные данные'!P6=212,'Исходные данные'!G6+80,'Исходные данные'!G6+40)</f>
        <v>40</v>
      </c>
    </row>
    <row r="8" spans="1:16">
      <c r="A8" s="37">
        <f>'Исходные данные'!B7</f>
        <v>0</v>
      </c>
      <c r="B8" s="37">
        <f>'Исходные данные'!C7</f>
        <v>0</v>
      </c>
      <c r="C8" s="37">
        <f>'Исходные данные'!D7</f>
        <v>0</v>
      </c>
      <c r="D8" s="4" t="s">
        <v>7</v>
      </c>
      <c r="E8" s="7" t="str">
        <f>IF('Исходные данные'!K7=1,IF('Исходные данные'!B7&lt;400000,'Исходные данные'!G7+40,IF('Исходные данные'!Q7=212,'Исходные данные'!G7+80,'Исходные данные'!G7+40)),"---")</f>
        <v>---</v>
      </c>
      <c r="F8" s="7" t="str">
        <f>IF('Исходные данные'!K7=1,IF('Исходные данные'!Q7=212,165,171.4),"---")</f>
        <v>---</v>
      </c>
      <c r="G8" s="16">
        <f>'Исходные данные'!H7*2</f>
        <v>0</v>
      </c>
      <c r="H8" s="30" t="str">
        <f>IF('Исходные данные'!J7=1,"ОЦ",IF('Исходные данные'!J7=2,"нерж",IF('Исходные данные'!J7=3,"ОЦ",IF('Исходные данные'!J7=4,"ОЦ 0,7 краш","---"))))</f>
        <v>---</v>
      </c>
      <c r="I8" s="42">
        <v>2.8000000000000001E-2</v>
      </c>
      <c r="J8" s="60">
        <v>0.05</v>
      </c>
      <c r="K8" s="1" t="str">
        <f t="shared" ref="K8:K27" si="0">IF(F8=165,"кожух с 8 углами","---")</f>
        <v>---</v>
      </c>
    </row>
    <row r="9" spans="1:16">
      <c r="A9" s="37">
        <f>'Исходные данные'!B8</f>
        <v>0</v>
      </c>
      <c r="B9" s="37">
        <f>'Исходные данные'!C8</f>
        <v>0</v>
      </c>
      <c r="C9" s="37">
        <f>'Исходные данные'!D8</f>
        <v>0</v>
      </c>
      <c r="D9" s="4" t="s">
        <v>7</v>
      </c>
      <c r="E9" s="7" t="str">
        <f>IF('Исходные данные'!K8=1,IF('Исходные данные'!B8&lt;400000,'Исходные данные'!G8+40,IF('Исходные данные'!Q8=212,'Исходные данные'!G8+80,'Исходные данные'!G8+40)),"---")</f>
        <v>---</v>
      </c>
      <c r="F9" s="7" t="str">
        <f>IF('Исходные данные'!K8=1,IF('Исходные данные'!Q8=212,165,171.4),"---")</f>
        <v>---</v>
      </c>
      <c r="G9" s="16">
        <f>'Исходные данные'!H8*2</f>
        <v>0</v>
      </c>
      <c r="H9" s="30" t="str">
        <f>IF('Исходные данные'!J8=1,"ОЦ",IF('Исходные данные'!J8=2,"нерж",IF('Исходные данные'!J8=3,"ОЦ",IF('Исходные данные'!J8=4,"ОЦ 0,7 краш","---"))))</f>
        <v>---</v>
      </c>
      <c r="I9" s="61">
        <v>0</v>
      </c>
      <c r="J9" s="62">
        <v>0</v>
      </c>
      <c r="K9" s="1" t="str">
        <f t="shared" si="0"/>
        <v>---</v>
      </c>
    </row>
    <row r="10" spans="1:16">
      <c r="A10" s="37">
        <f>'Исходные данные'!B9</f>
        <v>0</v>
      </c>
      <c r="B10" s="37">
        <f>'Исходные данные'!C9</f>
        <v>0</v>
      </c>
      <c r="C10" s="37">
        <f>'Исходные данные'!D9</f>
        <v>0</v>
      </c>
      <c r="D10" s="4" t="s">
        <v>7</v>
      </c>
      <c r="E10" s="7" t="str">
        <f>IF('Исходные данные'!K9=1,IF('Исходные данные'!B9&lt;400000,'Исходные данные'!G9+40,IF('Исходные данные'!Q9=212,'Исходные данные'!G9+80,'Исходные данные'!G9+40)),"---")</f>
        <v>---</v>
      </c>
      <c r="F10" s="7" t="str">
        <f>IF('Исходные данные'!K9=1,IF('Исходные данные'!Q9=212,165,171.4),"---")</f>
        <v>---</v>
      </c>
      <c r="G10" s="16">
        <f>'Исходные данные'!H9*2</f>
        <v>0</v>
      </c>
      <c r="H10" s="30" t="str">
        <f>IF('Исходные данные'!J9=1,"ОЦ",IF('Исходные данные'!J9=2,"нерж",IF('Исходные данные'!J9=3,"ОЦ",IF('Исходные данные'!J9=4," 0,7 краш","---"))))</f>
        <v>---</v>
      </c>
      <c r="I10" s="62">
        <v>0</v>
      </c>
      <c r="J10" s="62">
        <v>0</v>
      </c>
      <c r="K10" s="1" t="str">
        <f t="shared" si="0"/>
        <v>---</v>
      </c>
      <c r="P10">
        <f>IF('Исходные данные'!B6&lt;400000,'Исходные данные'!G6+40,0)</f>
        <v>40</v>
      </c>
    </row>
    <row r="11" spans="1:16">
      <c r="A11" s="37">
        <f>'Исходные данные'!B10</f>
        <v>0</v>
      </c>
      <c r="B11" s="37">
        <f>'Исходные данные'!C10</f>
        <v>0</v>
      </c>
      <c r="C11" s="37">
        <f>'Исходные данные'!D10</f>
        <v>0</v>
      </c>
      <c r="D11" s="4"/>
      <c r="E11" s="7" t="str">
        <f>IF('Исходные данные'!K10=1,IF('Исходные данные'!B10&lt;400000,'Исходные данные'!G10+40,IF('Исходные данные'!Q10=212,'Исходные данные'!G10+80,'Исходные данные'!G10+40)),"---")</f>
        <v>---</v>
      </c>
      <c r="F11" s="7" t="str">
        <f>IF('Исходные данные'!K10=1,IF('Исходные данные'!Q10=212,165,171.4),"---")</f>
        <v>---</v>
      </c>
      <c r="G11" s="16">
        <f>'Исходные данные'!H10*2</f>
        <v>0</v>
      </c>
      <c r="H11" s="30" t="str">
        <f>IF('Исходные данные'!J10=1,"ОЦ",IF('Исходные данные'!J10=2,"нерж",IF('Исходные данные'!J10=3,"ОЦ",IF('Исходные данные'!J10=4,"ОЦ 0,7 краш","---"))))</f>
        <v>---</v>
      </c>
      <c r="I11" s="62">
        <v>0</v>
      </c>
      <c r="J11" s="62">
        <v>0</v>
      </c>
      <c r="K11" s="1" t="str">
        <f t="shared" si="0"/>
        <v>---</v>
      </c>
    </row>
    <row r="12" spans="1:16">
      <c r="A12" s="37">
        <f>'Исходные данные'!B11</f>
        <v>0</v>
      </c>
      <c r="B12" s="37">
        <f>'Исходные данные'!C11</f>
        <v>0</v>
      </c>
      <c r="C12" s="37">
        <f>'Исходные данные'!D11</f>
        <v>0</v>
      </c>
      <c r="D12" s="4"/>
      <c r="E12" s="7" t="str">
        <f>IF('Исходные данные'!K11=1,IF('Исходные данные'!B11&lt;400000,'Исходные данные'!G11+40,IF('Исходные данные'!Q11=212,'Исходные данные'!G11+80,'Исходные данные'!G11+40)),"---")</f>
        <v>---</v>
      </c>
      <c r="F12" s="7" t="str">
        <f>IF('Исходные данные'!K11=1,IF('Исходные данные'!Q11=212,165,171.4),"---")</f>
        <v>---</v>
      </c>
      <c r="G12" s="16">
        <f>'Исходные данные'!H11*2</f>
        <v>0</v>
      </c>
      <c r="H12" s="30" t="str">
        <f>IF('Исходные данные'!J11=1,"ОЦ",IF('Исходные данные'!J11=2,"нерж",IF('Исходные данные'!J11=3,"ОЦ",IF('Исходные данные'!J11=4,"ОЦ 0,7 краш","---"))))</f>
        <v>---</v>
      </c>
      <c r="I12" s="62">
        <v>0</v>
      </c>
      <c r="J12" s="62">
        <v>0</v>
      </c>
      <c r="K12" s="1" t="str">
        <f t="shared" si="0"/>
        <v>---</v>
      </c>
    </row>
    <row r="13" spans="1:16">
      <c r="A13" s="37">
        <f>'Исходные данные'!B12</f>
        <v>0</v>
      </c>
      <c r="B13" s="37">
        <f>'Исходные данные'!C12</f>
        <v>0</v>
      </c>
      <c r="C13" s="37">
        <f>'Исходные данные'!D12</f>
        <v>0</v>
      </c>
      <c r="D13" s="4"/>
      <c r="E13" s="7" t="str">
        <f>IF('Исходные данные'!K12=1,IF('Исходные данные'!B12&lt;400000,'Исходные данные'!G12+40,IF('Исходные данные'!Q12=212,'Исходные данные'!G12+80,'Исходные данные'!G12+40)),"---")</f>
        <v>---</v>
      </c>
      <c r="F13" s="7" t="str">
        <f>IF('Исходные данные'!K12=1,IF('Исходные данные'!Q12=212,165,171.4),"---")</f>
        <v>---</v>
      </c>
      <c r="G13" s="16">
        <f>'Исходные данные'!H12*2</f>
        <v>0</v>
      </c>
      <c r="H13" s="30" t="str">
        <f>IF('Исходные данные'!J12=1,"ОЦ",IF('Исходные данные'!J12=2,"нерж",IF('Исходные данные'!J12=3,"ОЦ",IF('Исходные данные'!J12=4,"ОЦ 0,7 краш","---"))))</f>
        <v>---</v>
      </c>
      <c r="I13" s="62">
        <v>0</v>
      </c>
      <c r="J13" s="62">
        <v>0</v>
      </c>
      <c r="K13" s="1" t="str">
        <f t="shared" si="0"/>
        <v>---</v>
      </c>
    </row>
    <row r="14" spans="1:16">
      <c r="A14" s="37">
        <f>'Исходные данные'!B13</f>
        <v>0</v>
      </c>
      <c r="B14" s="37">
        <f>'Исходные данные'!C13</f>
        <v>0</v>
      </c>
      <c r="C14" s="37">
        <f>'Исходные данные'!D13</f>
        <v>0</v>
      </c>
      <c r="D14" s="4"/>
      <c r="E14" s="7" t="str">
        <f>IF('Исходные данные'!K13=1,IF('Исходные данные'!B13&lt;400000,'Исходные данные'!G13+40,IF('Исходные данные'!Q13=212,'Исходные данные'!G13+80,'Исходные данные'!G13+40)),"---")</f>
        <v>---</v>
      </c>
      <c r="F14" s="7" t="str">
        <f>IF('Исходные данные'!K13=1,IF('Исходные данные'!Q13=212,165,171.4),"---")</f>
        <v>---</v>
      </c>
      <c r="G14" s="16">
        <f>'Исходные данные'!H13*2</f>
        <v>0</v>
      </c>
      <c r="H14" s="30" t="str">
        <f>IF('Исходные данные'!J13=1,"ОЦ",IF('Исходные данные'!J13=2,"нерж",IF('Исходные данные'!J13=3,"ОЦ",IF('Исходные данные'!J13=4,"ОЦ 0,7 краш","---"))))</f>
        <v>---</v>
      </c>
      <c r="I14" s="42"/>
      <c r="J14" s="42"/>
      <c r="K14" s="1" t="str">
        <f t="shared" si="0"/>
        <v>---</v>
      </c>
    </row>
    <row r="15" spans="1:16">
      <c r="A15" s="37">
        <f>'Исходные данные'!B14</f>
        <v>0</v>
      </c>
      <c r="B15" s="37">
        <f>'Исходные данные'!C14</f>
        <v>0</v>
      </c>
      <c r="C15" s="37">
        <f>'Исходные данные'!D14</f>
        <v>0</v>
      </c>
      <c r="D15" s="4"/>
      <c r="E15" s="7" t="str">
        <f>IF('Исходные данные'!K14=1,IF('Исходные данные'!B14&lt;400000,'Исходные данные'!G14+40,IF('Исходные данные'!Q14=212,'Исходные данные'!G14+80,'Исходные данные'!G14+40)),"---")</f>
        <v>---</v>
      </c>
      <c r="F15" s="7" t="str">
        <f>IF('Исходные данные'!K14=1,IF('Исходные данные'!Q14=212,165,171.4),"---")</f>
        <v>---</v>
      </c>
      <c r="G15" s="16">
        <f>'Исходные данные'!H14*2</f>
        <v>0</v>
      </c>
      <c r="H15" s="30" t="str">
        <f>IF('Исходные данные'!J14=1,"ОЦ",IF('Исходные данные'!J14=2,"нерж",IF('Исходные данные'!J14=3,"ОЦ",IF('Исходные данные'!J14=4,"ОЦ 0,7 краш","---"))))</f>
        <v>---</v>
      </c>
      <c r="I15" s="42"/>
      <c r="J15" s="42"/>
      <c r="K15" s="1" t="str">
        <f t="shared" si="0"/>
        <v>---</v>
      </c>
    </row>
    <row r="16" spans="1:16">
      <c r="A16" s="37">
        <f>'Исходные данные'!B15</f>
        <v>0</v>
      </c>
      <c r="B16" s="37">
        <f>'Исходные данные'!C15</f>
        <v>0</v>
      </c>
      <c r="C16" s="37">
        <f>'Исходные данные'!D15</f>
        <v>0</v>
      </c>
      <c r="D16" s="4"/>
      <c r="E16" s="7" t="str">
        <f>IF('Исходные данные'!K15=1,IF('Исходные данные'!B15&lt;400000,'Исходные данные'!G15+40,IF('Исходные данные'!Q15=212,'Исходные данные'!G15+80,'Исходные данные'!G15+40)),"---")</f>
        <v>---</v>
      </c>
      <c r="F16" s="7" t="str">
        <f>IF('Исходные данные'!K15=1,IF('Исходные данные'!Q15=212,165,171.4),"---")</f>
        <v>---</v>
      </c>
      <c r="G16" s="16">
        <f>'Исходные данные'!H15*2</f>
        <v>0</v>
      </c>
      <c r="H16" s="30" t="str">
        <f>IF('Исходные данные'!J15=1,"ОЦ",IF('Исходные данные'!J15=2,"нерж",IF('Исходные данные'!J15=3,"ОЦ",IF('Исходные данные'!J15=4,"ОЦ 0,7 краш","---"))))</f>
        <v>---</v>
      </c>
      <c r="I16" s="42"/>
      <c r="J16" s="42"/>
      <c r="K16" s="1" t="str">
        <f t="shared" si="0"/>
        <v>---</v>
      </c>
    </row>
    <row r="17" spans="1:11">
      <c r="A17" s="37">
        <f>'Исходные данные'!B16</f>
        <v>0</v>
      </c>
      <c r="B17" s="37">
        <f>'Исходные данные'!C16</f>
        <v>0</v>
      </c>
      <c r="C17" s="37">
        <f>'Исходные данные'!D16</f>
        <v>0</v>
      </c>
      <c r="D17" s="4"/>
      <c r="E17" s="7" t="str">
        <f>IF('Исходные данные'!K16=1,IF('Исходные данные'!B16&lt;400000,'Исходные данные'!G16+40,IF('Исходные данные'!Q16=212,'Исходные данные'!G16+80,'Исходные данные'!G16+40)),"---")</f>
        <v>---</v>
      </c>
      <c r="F17" s="7" t="str">
        <f>IF('Исходные данные'!K16=1,IF('Исходные данные'!Q16=212,165,171.4),"---")</f>
        <v>---</v>
      </c>
      <c r="G17" s="16">
        <f>'Исходные данные'!H16*2</f>
        <v>0</v>
      </c>
      <c r="H17" s="30" t="str">
        <f>IF('Исходные данные'!J16=1,"ОЦ",IF('Исходные данные'!J16=2,"нерж",IF('Исходные данные'!J16=3,"ОЦ",IF('Исходные данные'!J16=4,"ОЦ 0,7 краш","---"))))</f>
        <v>---</v>
      </c>
      <c r="I17" s="42"/>
      <c r="J17" s="42"/>
      <c r="K17" s="1" t="str">
        <f t="shared" si="0"/>
        <v>---</v>
      </c>
    </row>
    <row r="18" spans="1:11">
      <c r="A18" s="37">
        <f>'Исходные данные'!B17</f>
        <v>0</v>
      </c>
      <c r="B18" s="37">
        <f>'Исходные данные'!C17</f>
        <v>0</v>
      </c>
      <c r="C18" s="37">
        <f>'Исходные данные'!D17</f>
        <v>0</v>
      </c>
      <c r="D18" s="4"/>
      <c r="E18" s="7" t="str">
        <f>IF('Исходные данные'!K17=1,IF('Исходные данные'!B17&lt;400000,'Исходные данные'!G17+40,IF('Исходные данные'!Q17=212,'Исходные данные'!G17+80,'Исходные данные'!G17+40)),"---")</f>
        <v>---</v>
      </c>
      <c r="F18" s="7" t="str">
        <f>IF('Исходные данные'!K17=1,IF('Исходные данные'!Q17=212,165,171.4),"---")</f>
        <v>---</v>
      </c>
      <c r="G18" s="16">
        <f>'Исходные данные'!H17*2</f>
        <v>0</v>
      </c>
      <c r="H18" s="30" t="str">
        <f>IF('Исходные данные'!J17=1,"ОЦ",IF('Исходные данные'!J17=2,"нерж",IF('Исходные данные'!J17=3,"ОЦ",IF('Исходные данные'!J17=4,"ОЦ 0,7 краш","---"))))</f>
        <v>---</v>
      </c>
      <c r="I18" s="42"/>
      <c r="J18" s="42"/>
      <c r="K18" s="1" t="str">
        <f t="shared" si="0"/>
        <v>---</v>
      </c>
    </row>
    <row r="19" spans="1:11">
      <c r="A19" s="37">
        <f>'Исходные данные'!B18</f>
        <v>0</v>
      </c>
      <c r="B19" s="37">
        <f>'Исходные данные'!C18</f>
        <v>0</v>
      </c>
      <c r="C19" s="37">
        <f>'Исходные данные'!D18</f>
        <v>0</v>
      </c>
      <c r="D19" s="4"/>
      <c r="E19" s="7" t="str">
        <f>IF('Исходные данные'!K18=1,IF('Исходные данные'!B18&lt;400000,'Исходные данные'!G18+40,IF('Исходные данные'!Q18=212,'Исходные данные'!G18+80,'Исходные данные'!G18+40)),"---")</f>
        <v>---</v>
      </c>
      <c r="F19" s="7" t="str">
        <f>IF('Исходные данные'!K18=1,IF('Исходные данные'!Q18=212,165,171.4),"---")</f>
        <v>---</v>
      </c>
      <c r="G19" s="16">
        <f>'Исходные данные'!H18*2</f>
        <v>0</v>
      </c>
      <c r="H19" s="30" t="str">
        <f>IF('Исходные данные'!J18=1,"ОЦ",IF('Исходные данные'!J18=2,"нерж",IF('Исходные данные'!J18=3,"ОЦ",IF('Исходные данные'!J18=4,"ОЦ 0,7 краш","---"))))</f>
        <v>---</v>
      </c>
      <c r="I19" s="42"/>
      <c r="J19" s="42"/>
      <c r="K19" s="1" t="str">
        <f t="shared" si="0"/>
        <v>---</v>
      </c>
    </row>
    <row r="20" spans="1:11">
      <c r="A20" s="37">
        <f>'Исходные данные'!B19</f>
        <v>0</v>
      </c>
      <c r="B20" s="37">
        <f>'Исходные данные'!C19</f>
        <v>0</v>
      </c>
      <c r="C20" s="37">
        <f>'Исходные данные'!D19</f>
        <v>0</v>
      </c>
      <c r="D20" s="4"/>
      <c r="E20" s="7" t="str">
        <f>IF('Исходные данные'!K19=1,IF('Исходные данные'!B19&lt;400000,'Исходные данные'!G19+40,IF('Исходные данные'!Q19=212,'Исходные данные'!G19+80,'Исходные данные'!G19+40)),"---")</f>
        <v>---</v>
      </c>
      <c r="F20" s="7" t="str">
        <f>IF('Исходные данные'!K19=1,IF('Исходные данные'!Q19=212,165,171.4),"---")</f>
        <v>---</v>
      </c>
      <c r="G20" s="16">
        <f>'Исходные данные'!H19*2</f>
        <v>0</v>
      </c>
      <c r="H20" s="30" t="str">
        <f>IF('Исходные данные'!J19=1,"ОЦ",IF('Исходные данные'!J19=2,"нерж",IF('Исходные данные'!J19=3,"ОЦ",IF('Исходные данные'!J19=4,"ОЦ 0,7 краш","---"))))</f>
        <v>---</v>
      </c>
      <c r="I20" s="42"/>
      <c r="J20" s="42"/>
      <c r="K20" s="1" t="str">
        <f t="shared" si="0"/>
        <v>---</v>
      </c>
    </row>
    <row r="21" spans="1:11">
      <c r="A21" s="37">
        <f>'Исходные данные'!B20</f>
        <v>0</v>
      </c>
      <c r="B21" s="37">
        <f>'Исходные данные'!C20</f>
        <v>0</v>
      </c>
      <c r="C21" s="37">
        <f>'Исходные данные'!D20</f>
        <v>0</v>
      </c>
      <c r="D21" s="4"/>
      <c r="E21" s="7" t="str">
        <f>IF('Исходные данные'!K20=1,IF('Исходные данные'!B20&lt;400000,'Исходные данные'!G20+40,IF('Исходные данные'!Q20=212,'Исходные данные'!G20+80,'Исходные данные'!G20+40)),"---")</f>
        <v>---</v>
      </c>
      <c r="F21" s="7" t="str">
        <f>IF('Исходные данные'!K20=1,IF('Исходные данные'!Q20=212,165,171.4),"---")</f>
        <v>---</v>
      </c>
      <c r="G21" s="16">
        <f>'Исходные данные'!H20*2</f>
        <v>0</v>
      </c>
      <c r="H21" s="30" t="str">
        <f>IF('Исходные данные'!J20=1,"ОЦ",IF('Исходные данные'!J20=2,"нерж",IF('Исходные данные'!J20=3,"ОЦ",IF('Исходные данные'!J20=4,"ОЦ 0,7 краш","---"))))</f>
        <v>---</v>
      </c>
      <c r="I21" s="42"/>
      <c r="J21" s="42"/>
      <c r="K21" s="1" t="str">
        <f t="shared" si="0"/>
        <v>---</v>
      </c>
    </row>
    <row r="22" spans="1:11">
      <c r="A22" s="37">
        <f>'Исходные данные'!B21</f>
        <v>0</v>
      </c>
      <c r="B22" s="37">
        <f>'Исходные данные'!C21</f>
        <v>0</v>
      </c>
      <c r="C22" s="37">
        <f>'Исходные данные'!D21</f>
        <v>0</v>
      </c>
      <c r="D22" s="4"/>
      <c r="E22" s="7" t="str">
        <f>IF('Исходные данные'!K21=1,IF('Исходные данные'!B21&lt;400000,'Исходные данные'!G21+40,IF('Исходные данные'!Q21=212,'Исходные данные'!G21+80,'Исходные данные'!G21+40)),"---")</f>
        <v>---</v>
      </c>
      <c r="F22" s="7" t="str">
        <f>IF('Исходные данные'!K21=1,IF('Исходные данные'!Q21=212,165,171.4),"---")</f>
        <v>---</v>
      </c>
      <c r="G22" s="16">
        <f>'Исходные данные'!H21*2</f>
        <v>0</v>
      </c>
      <c r="H22" s="30" t="str">
        <f>IF('Исходные данные'!J21=1,"ОЦ",IF('Исходные данные'!J21=2,"нерж",IF('Исходные данные'!J21=3,"ОЦ",IF('Исходные данные'!J21=4,"ОЦ 0,7 краш","---"))))</f>
        <v>---</v>
      </c>
      <c r="I22" s="42"/>
      <c r="J22" s="42"/>
      <c r="K22" s="1" t="str">
        <f t="shared" si="0"/>
        <v>---</v>
      </c>
    </row>
    <row r="23" spans="1:11">
      <c r="A23" s="37">
        <f>'Исходные данные'!B22</f>
        <v>0</v>
      </c>
      <c r="B23" s="37">
        <f>'Исходные данные'!C22</f>
        <v>0</v>
      </c>
      <c r="C23" s="37">
        <f>'Исходные данные'!D22</f>
        <v>0</v>
      </c>
      <c r="D23" s="4"/>
      <c r="E23" s="7" t="str">
        <f>IF('Исходные данные'!K22=1,IF('Исходные данные'!B22&lt;400000,'Исходные данные'!G22+40,IF('Исходные данные'!Q22=212,'Исходные данные'!G22+80,'Исходные данные'!G22+40)),"---")</f>
        <v>---</v>
      </c>
      <c r="F23" s="7" t="str">
        <f>IF('Исходные данные'!K22=1,IF('Исходные данные'!Q22=212,165,171.4),"---")</f>
        <v>---</v>
      </c>
      <c r="G23" s="16">
        <f>'Исходные данные'!H22*2</f>
        <v>0</v>
      </c>
      <c r="H23" s="30" t="str">
        <f>IF('Исходные данные'!J22=1,"ОЦ",IF('Исходные данные'!J22=2,"нерж",IF('Исходные данные'!J22=3,"ОЦ",IF('Исходные данные'!J22=4,"ОЦ 0,7 краш","---"))))</f>
        <v>---</v>
      </c>
      <c r="I23" s="42"/>
      <c r="J23" s="42"/>
      <c r="K23" s="1" t="str">
        <f t="shared" si="0"/>
        <v>---</v>
      </c>
    </row>
    <row r="24" spans="1:11">
      <c r="A24" s="37">
        <f>'Исходные данные'!B23</f>
        <v>0</v>
      </c>
      <c r="B24" s="37">
        <f>'Исходные данные'!C23</f>
        <v>0</v>
      </c>
      <c r="C24" s="37">
        <f>'Исходные данные'!D23</f>
        <v>0</v>
      </c>
      <c r="D24" s="4"/>
      <c r="E24" s="7" t="str">
        <f>IF('Исходные данные'!K23=1,IF('Исходные данные'!B23&lt;400000,'Исходные данные'!G23+40,IF('Исходные данные'!Q23=212,'Исходные данные'!G23+80,'Исходные данные'!G23+40)),"---")</f>
        <v>---</v>
      </c>
      <c r="F24" s="7" t="str">
        <f>IF('Исходные данные'!K23=1,IF('Исходные данные'!Q23=212,165,171.4),"---")</f>
        <v>---</v>
      </c>
      <c r="G24" s="16">
        <f>'Исходные данные'!H23*2</f>
        <v>0</v>
      </c>
      <c r="H24" s="30" t="str">
        <f>IF('Исходные данные'!J23=1,"ОЦ",IF('Исходные данные'!J23=2,"нерж",IF('Исходные данные'!J23=3,"ОЦ",IF('Исходные данные'!J23=4,"ОЦ 0,7 краш","---"))))</f>
        <v>---</v>
      </c>
      <c r="I24" s="42"/>
      <c r="J24" s="42"/>
      <c r="K24" s="1" t="str">
        <f t="shared" si="0"/>
        <v>---</v>
      </c>
    </row>
    <row r="25" spans="1:11">
      <c r="A25" s="37">
        <f>'Исходные данные'!B24</f>
        <v>0</v>
      </c>
      <c r="B25" s="37">
        <f>'Исходные данные'!C24</f>
        <v>0</v>
      </c>
      <c r="C25" s="37">
        <f>'Исходные данные'!D24</f>
        <v>0</v>
      </c>
      <c r="D25" s="4"/>
      <c r="E25" s="7" t="str">
        <f>IF('Исходные данные'!K24=1,IF('Исходные данные'!B24&lt;400000,'Исходные данные'!G24+40,IF('Исходные данные'!Q24=212,'Исходные данные'!G24+80,'Исходные данные'!G24+40)),"---")</f>
        <v>---</v>
      </c>
      <c r="F25" s="7" t="str">
        <f>IF('Исходные данные'!K24=1,IF('Исходные данные'!Q24=212,165,171.4),"---")</f>
        <v>---</v>
      </c>
      <c r="G25" s="16">
        <f>'Исходные данные'!H24*2</f>
        <v>0</v>
      </c>
      <c r="H25" s="30" t="str">
        <f>IF('Исходные данные'!J24=1,"ОЦ",IF('Исходные данные'!J24=2,"нерж",IF('Исходные данные'!J24=3,"ОЦ",IF('Исходные данные'!J24=4,"ОЦ 0,7 краш","---"))))</f>
        <v>---</v>
      </c>
      <c r="I25" s="42"/>
      <c r="J25" s="42"/>
      <c r="K25" s="1" t="str">
        <f t="shared" si="0"/>
        <v>---</v>
      </c>
    </row>
    <row r="26" spans="1:11">
      <c r="A26" s="37">
        <f>'Исходные данные'!B25</f>
        <v>0</v>
      </c>
      <c r="B26" s="37">
        <f>'Исходные данные'!C25</f>
        <v>0</v>
      </c>
      <c r="C26" s="37">
        <f>'Исходные данные'!D25</f>
        <v>0</v>
      </c>
      <c r="D26" s="4"/>
      <c r="E26" s="7" t="str">
        <f>IF('Исходные данные'!K25=1,IF('Исходные данные'!B25&lt;400000,'Исходные данные'!G25+40,IF('Исходные данные'!Q25=212,'Исходные данные'!G25+80,'Исходные данные'!G25+40)),"---")</f>
        <v>---</v>
      </c>
      <c r="F26" s="7" t="str">
        <f>IF('Исходные данные'!K25=1,IF('Исходные данные'!Q25=212,165,171.4),"---")</f>
        <v>---</v>
      </c>
      <c r="G26" s="16">
        <f>'Исходные данные'!H25*2</f>
        <v>0</v>
      </c>
      <c r="H26" s="30" t="str">
        <f>IF('Исходные данные'!J25=1,"ОЦ",IF('Исходные данные'!J25=2,"нерж",IF('Исходные данные'!J25=3,"ОЦ",IF('Исходные данные'!J25=4,"ОЦ 0,7 краш","---"))))</f>
        <v>---</v>
      </c>
      <c r="I26" s="42"/>
      <c r="J26" s="42"/>
      <c r="K26" s="1" t="str">
        <f t="shared" si="0"/>
        <v>---</v>
      </c>
    </row>
    <row r="27" spans="1:11">
      <c r="A27" s="37">
        <f>'Исходные данные'!B26</f>
        <v>0</v>
      </c>
      <c r="B27" s="37">
        <f>'Исходные данные'!C26</f>
        <v>0</v>
      </c>
      <c r="C27" s="37">
        <f>'Исходные данные'!D26</f>
        <v>0</v>
      </c>
      <c r="D27" s="4"/>
      <c r="E27" s="7" t="str">
        <f>IF('Исходные данные'!K26=1,IF('Исходные данные'!B26&lt;400000,'Исходные данные'!G26+40,IF('Исходные данные'!Q26=212,'Исходные данные'!G26+80,'Исходные данные'!G26+40)),"---")</f>
        <v>---</v>
      </c>
      <c r="F27" s="7" t="str">
        <f>IF('Исходные данные'!K26=1,IF('Исходные данные'!Q26=212,165,171.4),"---")</f>
        <v>---</v>
      </c>
      <c r="G27" s="16">
        <f>'Исходные данные'!H26*2</f>
        <v>0</v>
      </c>
      <c r="H27" s="30" t="str">
        <f>IF('Исходные данные'!J26=1,"ОЦ",IF('Исходные данные'!J26=2,"нерж",IF('Исходные данные'!J26=3,"ОЦ",IF('Исходные данные'!J26=4,"ОЦ 0,7 краш","---"))))</f>
        <v>---</v>
      </c>
      <c r="I27" s="42"/>
      <c r="J27" s="42"/>
      <c r="K27" s="1" t="str">
        <f t="shared" si="0"/>
        <v>---</v>
      </c>
    </row>
    <row r="28" spans="1:11">
      <c r="A28" t="s">
        <v>49</v>
      </c>
      <c r="B28" s="79" t="s">
        <v>34</v>
      </c>
      <c r="C28" s="79"/>
      <c r="D28" s="79"/>
      <c r="E28" s="79"/>
      <c r="F28" s="79"/>
      <c r="G28">
        <f>SUM(I7:I27)</f>
        <v>5.6000000000000001E-2</v>
      </c>
    </row>
    <row r="30" spans="1:11">
      <c r="A30" t="s">
        <v>51</v>
      </c>
      <c r="B30" s="47"/>
      <c r="C30" s="47"/>
      <c r="D30" s="47"/>
      <c r="E30" s="47"/>
      <c r="F30" s="47"/>
      <c r="G30">
        <f>SUM(J7:J27)</f>
        <v>0.1</v>
      </c>
    </row>
    <row r="32" spans="1:11" ht="18.75">
      <c r="A32" s="23" t="str">
        <f>'Пила УВК'!B33</f>
        <v>Срок</v>
      </c>
      <c r="B32" s="99"/>
      <c r="C32" s="99"/>
    </row>
    <row r="33" spans="1:12" ht="18.75">
      <c r="A33" s="23"/>
      <c r="B33" s="43"/>
      <c r="C33" s="43"/>
    </row>
    <row r="34" spans="1:12">
      <c r="A34" t="str">
        <f>'Пила УВК'!B35</f>
        <v>Мастер_______________________________</v>
      </c>
    </row>
    <row r="35" spans="1:12" ht="21">
      <c r="A35" s="44" t="s">
        <v>189</v>
      </c>
      <c r="B35" s="45"/>
      <c r="C35" s="45"/>
      <c r="D35" s="45"/>
      <c r="E35" s="45"/>
      <c r="F35" s="45"/>
      <c r="G35" s="45"/>
      <c r="H35" s="46"/>
      <c r="I35" s="46"/>
      <c r="J35" s="46"/>
      <c r="K35" s="44"/>
      <c r="L35" s="44"/>
    </row>
    <row r="36" spans="1:12" ht="18.75">
      <c r="A36" s="44"/>
      <c r="B36" s="46" t="s">
        <v>70</v>
      </c>
      <c r="C36" s="46"/>
      <c r="D36" s="46"/>
      <c r="E36" s="46"/>
      <c r="F36" s="46"/>
      <c r="G36" s="46">
        <f>'Исходные данные'!F4</f>
        <v>0</v>
      </c>
      <c r="H36" s="44"/>
      <c r="I36" s="44"/>
      <c r="J36" s="44"/>
      <c r="K36" s="44"/>
      <c r="L36" s="44"/>
    </row>
    <row r="37" spans="1:12">
      <c r="A37" s="44"/>
      <c r="B37" s="44" t="s">
        <v>71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44"/>
      <c r="B38" s="44" t="s">
        <v>66</v>
      </c>
      <c r="C38" s="44" t="s">
        <v>72</v>
      </c>
      <c r="D38" s="44"/>
      <c r="E38" s="44"/>
      <c r="F38" s="44"/>
      <c r="G38" s="44" t="s">
        <v>195</v>
      </c>
      <c r="H38" s="44"/>
      <c r="I38" s="44"/>
      <c r="J38" s="44"/>
      <c r="K38" s="44"/>
      <c r="L38" s="44"/>
    </row>
    <row r="39" spans="1:1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>
      <c r="A40" s="44"/>
      <c r="B40" s="44" t="s">
        <v>73</v>
      </c>
      <c r="C40" s="44"/>
      <c r="D40" s="44"/>
      <c r="E40" s="44"/>
      <c r="F40" s="44"/>
      <c r="G40" s="44" t="s">
        <v>195</v>
      </c>
      <c r="H40" s="44"/>
      <c r="I40" s="44"/>
      <c r="J40" s="44"/>
      <c r="K40" s="44"/>
      <c r="L40" s="44"/>
    </row>
    <row r="41" spans="1:1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>
      <c r="A42" s="44"/>
      <c r="B42" s="44" t="s">
        <v>74</v>
      </c>
      <c r="C42" s="44"/>
      <c r="D42" s="44"/>
      <c r="E42" s="44"/>
      <c r="F42" s="44"/>
      <c r="G42" s="44" t="s">
        <v>195</v>
      </c>
      <c r="H42" s="44"/>
      <c r="I42" s="44"/>
      <c r="J42" s="44"/>
      <c r="K42" s="44"/>
      <c r="L42" s="44"/>
    </row>
    <row r="43" spans="1:1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</row>
  </sheetData>
  <mergeCells count="13">
    <mergeCell ref="K5:K6"/>
    <mergeCell ref="H5:H6"/>
    <mergeCell ref="A2:G2"/>
    <mergeCell ref="A3:G3"/>
    <mergeCell ref="B5:C6"/>
    <mergeCell ref="A4:B4"/>
    <mergeCell ref="C4:D4"/>
    <mergeCell ref="I5:J5"/>
    <mergeCell ref="B32:C32"/>
    <mergeCell ref="B28:F28"/>
    <mergeCell ref="A5:A6"/>
    <mergeCell ref="D5:G5"/>
    <mergeCell ref="D6:E6"/>
  </mergeCells>
  <pageMargins left="0.70866141732283472" right="0.70866141732283472" top="0.74803149606299213" bottom="0.74803149606299213" header="0.31496062992125984" footer="0.31496062992125984"/>
  <pageSetup paperSize="9" scale="7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J42"/>
  <sheetViews>
    <sheetView workbookViewId="0">
      <selection sqref="A1:I44"/>
    </sheetView>
  </sheetViews>
  <sheetFormatPr defaultRowHeight="15"/>
  <cols>
    <col min="1" max="1" width="10.28515625" customWidth="1"/>
    <col min="2" max="2" width="10.42578125" customWidth="1"/>
    <col min="3" max="3" width="5.28515625" customWidth="1"/>
    <col min="4" max="4" width="4.140625" customWidth="1"/>
    <col min="5" max="5" width="10.7109375" customWidth="1"/>
    <col min="6" max="6" width="8.42578125" customWidth="1"/>
    <col min="7" max="7" width="10.5703125" customWidth="1"/>
  </cols>
  <sheetData>
    <row r="2" spans="1:9" ht="18.75">
      <c r="A2" s="92" t="s">
        <v>31</v>
      </c>
      <c r="B2" s="92"/>
      <c r="C2" s="92"/>
      <c r="D2" s="92"/>
      <c r="E2" s="92"/>
      <c r="F2" s="92"/>
      <c r="G2" s="92"/>
      <c r="H2" s="92"/>
    </row>
    <row r="3" spans="1:9" ht="18.75">
      <c r="A3" s="92" t="s">
        <v>194</v>
      </c>
      <c r="B3" s="92"/>
      <c r="C3" s="92"/>
      <c r="D3" s="92"/>
      <c r="E3" s="92"/>
      <c r="F3" s="92"/>
      <c r="G3" s="92"/>
      <c r="H3" s="92"/>
    </row>
    <row r="4" spans="1:9" ht="21.75" thickBot="1">
      <c r="A4" s="114" t="e">
        <f>#REF!</f>
        <v>#REF!</v>
      </c>
      <c r="B4" s="115"/>
      <c r="C4" s="114" t="e">
        <f>#REF!</f>
        <v>#REF!</v>
      </c>
      <c r="D4" s="115"/>
    </row>
    <row r="5" spans="1:9" ht="53.25" customHeight="1">
      <c r="A5" s="100" t="s">
        <v>8</v>
      </c>
      <c r="B5" s="108" t="s">
        <v>0</v>
      </c>
      <c r="C5" s="109"/>
      <c r="D5" s="111" t="s">
        <v>11</v>
      </c>
      <c r="E5" s="101"/>
      <c r="F5" s="101"/>
      <c r="G5" s="17" t="s">
        <v>15</v>
      </c>
      <c r="H5" s="17" t="s">
        <v>21</v>
      </c>
      <c r="I5" s="107" t="s">
        <v>32</v>
      </c>
    </row>
    <row r="6" spans="1:9" ht="30" customHeight="1">
      <c r="A6" s="100"/>
      <c r="B6" s="97"/>
      <c r="C6" s="110"/>
      <c r="D6" s="112" t="s">
        <v>9</v>
      </c>
      <c r="E6" s="113"/>
      <c r="F6" s="13" t="s">
        <v>6</v>
      </c>
      <c r="G6" s="11" t="s">
        <v>17</v>
      </c>
      <c r="H6" s="11" t="s">
        <v>17</v>
      </c>
      <c r="I6" s="107"/>
    </row>
    <row r="7" spans="1:9" ht="21.75" customHeight="1">
      <c r="A7" s="2">
        <f>'Исходные данные'!B6</f>
        <v>0</v>
      </c>
      <c r="B7" s="2">
        <f>'Исходные данные'!C6</f>
        <v>0</v>
      </c>
      <c r="C7" s="2">
        <f>'Исходные данные'!D6</f>
        <v>0</v>
      </c>
      <c r="D7" s="2" t="s">
        <v>7</v>
      </c>
      <c r="E7" s="7">
        <f>IF('Исходные данные'!K6=1,'Исходные данные'!F6-2,IF('Исходные данные'!K6=2,'Исходные данные'!F6-2,IF('Исходные данные'!K6=3,'Исходные данные'!F6-2,IF('Исходные данные'!K6=4,"---",0))))</f>
        <v>0</v>
      </c>
      <c r="F7" s="16" t="str">
        <f>IF('Исходные данные'!K6=1,'Исходные данные'!H6*2,IF('Исходные данные'!K6=2,'Исходные данные'!H6*2,IF('Исходные данные'!K6=3,'Исходные данные'!H6*2,IF('Исходные данные'!K6=4,'Исходные данные'!H6*2,"---"))))</f>
        <v>---</v>
      </c>
      <c r="G7" s="2" t="e">
        <f>'Пила УВК'!#REF!</f>
        <v>#REF!</v>
      </c>
      <c r="H7" s="1" t="e">
        <f>((('Исходные данные'!F6-2)-(('Пила УВК'!#REF!-1)*'Ножницы лента'!G7))/2)</f>
        <v>#REF!</v>
      </c>
      <c r="I7" s="1" t="str">
        <f>IF('Исходные данные'!J6=1,"сталь 65Г",IF('Исходные данные'!J6=2,"сталь 65Г",IF('Исходные данные'!J6=3,"бронза",IF('Исходные данные'!J6=4,"сталь 65Г","---"))))</f>
        <v>---</v>
      </c>
    </row>
    <row r="8" spans="1:9">
      <c r="A8" s="37">
        <f>'Исходные данные'!B7</f>
        <v>0</v>
      </c>
      <c r="B8" s="37">
        <f>'Исходные данные'!C7</f>
        <v>0</v>
      </c>
      <c r="C8" s="37">
        <f>'Исходные данные'!D7</f>
        <v>0</v>
      </c>
      <c r="D8" s="2" t="s">
        <v>7</v>
      </c>
      <c r="E8" s="7">
        <f>IF('Исходные данные'!K7=1,'Исходные данные'!F7-2,IF('Исходные данные'!K7=2,'Исходные данные'!F7-2,IF('Исходные данные'!K7=3,'Исходные данные'!F7-2,IF('Исходные данные'!K7=4,"---",0))))</f>
        <v>0</v>
      </c>
      <c r="F8" s="16" t="str">
        <f>IF('Исходные данные'!K7=1,'Исходные данные'!H7*2,IF('Исходные данные'!K7=2,'Исходные данные'!H7*2,IF('Исходные данные'!K7=3,'Исходные данные'!H7*2,IF('Исходные данные'!K7=4,'Исходные данные'!H7*2,"---"))))</f>
        <v>---</v>
      </c>
      <c r="G8" s="37" t="e">
        <f>'Пила УВК'!#REF!</f>
        <v>#REF!</v>
      </c>
      <c r="H8" s="1" t="e">
        <f>((('Исходные данные'!F7-2)-(('Пила УВК'!#REF!-1)*'Ножницы лента'!G8))/2)</f>
        <v>#REF!</v>
      </c>
      <c r="I8" s="1" t="str">
        <f>IF('Исходные данные'!J7=1,"сталь 65Г",IF('Исходные данные'!J7=2,"сталь 65Г",IF('Исходные данные'!J7=3,"бронза",IF('Исходные данные'!J7=4,"сталь 65Г","---"))))</f>
        <v>---</v>
      </c>
    </row>
    <row r="9" spans="1:9">
      <c r="A9" s="37">
        <f>'Исходные данные'!B8</f>
        <v>0</v>
      </c>
      <c r="B9" s="37">
        <f>'Исходные данные'!C8</f>
        <v>0</v>
      </c>
      <c r="C9" s="37">
        <f>'Исходные данные'!D8</f>
        <v>0</v>
      </c>
      <c r="D9" s="2"/>
      <c r="E9" s="7">
        <f>IF('Исходные данные'!K8=1,'Исходные данные'!F8-2,IF('Исходные данные'!K8=2,'Исходные данные'!F8-2,IF('Исходные данные'!K8=3,'Исходные данные'!F8-2,IF('Исходные данные'!K8=4,"---",0))))</f>
        <v>0</v>
      </c>
      <c r="F9" s="16" t="str">
        <f>IF('Исходные данные'!K8=1,'Исходные данные'!H8*2,IF('Исходные данные'!K8=2,'Исходные данные'!H8*2,IF('Исходные данные'!K8=3,'Исходные данные'!H8*2,IF('Исходные данные'!K8=4,'Исходные данные'!H8*2,"---"))))</f>
        <v>---</v>
      </c>
      <c r="G9" s="37" t="e">
        <f>'Пила УВК'!#REF!</f>
        <v>#REF!</v>
      </c>
      <c r="H9" s="1" t="e">
        <f>((('Исходные данные'!F8-2)-(('Пила УВК'!#REF!-1)*'Ножницы лента'!G9))/2)</f>
        <v>#REF!</v>
      </c>
      <c r="I9" s="1" t="str">
        <f>IF('Исходные данные'!J8=1,"сталь 65Г",IF('Исходные данные'!J8=2,"сталь 65Г",IF('Исходные данные'!J8=3,"бронза",IF('Исходные данные'!J8=4,"сталь 65Г","---"))))</f>
        <v>---</v>
      </c>
    </row>
    <row r="10" spans="1:9">
      <c r="A10" s="37">
        <f>'Исходные данные'!B9</f>
        <v>0</v>
      </c>
      <c r="B10" s="37">
        <f>'Исходные данные'!C9</f>
        <v>0</v>
      </c>
      <c r="C10" s="37">
        <f>'Исходные данные'!D9</f>
        <v>0</v>
      </c>
      <c r="D10" s="2"/>
      <c r="E10" s="7">
        <f>IF('Исходные данные'!K9=1,'Исходные данные'!F9-2,IF('Исходные данные'!K9=2,'Исходные данные'!F9-2,IF('Исходные данные'!K9=3,'Исходные данные'!F9-2,IF('Исходные данные'!K9=4,"---",0))))</f>
        <v>0</v>
      </c>
      <c r="F10" s="16" t="str">
        <f>IF('Исходные данные'!K9=1,'Исходные данные'!H9*2,IF('Исходные данные'!K9=2,'Исходные данные'!H9*2,IF('Исходные данные'!K9=3,'Исходные данные'!H9*2,IF('Исходные данные'!K9=4,'Исходные данные'!H9*2,"---"))))</f>
        <v>---</v>
      </c>
      <c r="G10" s="37" t="e">
        <f>'Пила УВК'!#REF!</f>
        <v>#REF!</v>
      </c>
      <c r="H10" s="1" t="e">
        <f>((('Исходные данные'!F9-2)-(('Пила УВК'!#REF!-1)*'Ножницы лента'!G10))/2)</f>
        <v>#REF!</v>
      </c>
      <c r="I10" s="1" t="str">
        <f>IF('Исходные данные'!J9=1,"сталь 65Г",IF('Исходные данные'!J9=2,"сталь 65Г",IF('Исходные данные'!J9=3,"бронза",IF('Исходные данные'!J9=4,"сталь 65Г","---"))))</f>
        <v>---</v>
      </c>
    </row>
    <row r="11" spans="1:9">
      <c r="A11" s="37">
        <f>'Исходные данные'!B10</f>
        <v>0</v>
      </c>
      <c r="B11" s="37">
        <f>'Исходные данные'!C10</f>
        <v>0</v>
      </c>
      <c r="C11" s="37">
        <f>'Исходные данные'!D10</f>
        <v>0</v>
      </c>
      <c r="D11" s="2"/>
      <c r="E11" s="7">
        <f>IF('Исходные данные'!K10=1,'Исходные данные'!F10-2,IF('Исходные данные'!K10=2,'Исходные данные'!F10-2,IF('Исходные данные'!K10=3,'Исходные данные'!F10-2,IF('Исходные данные'!K10=4,"---",0))))</f>
        <v>0</v>
      </c>
      <c r="F11" s="16" t="str">
        <f>IF('Исходные данные'!K10=1,'Исходные данные'!H10*2,IF('Исходные данные'!K10=2,'Исходные данные'!H10*2,IF('Исходные данные'!K10=3,'Исходные данные'!H10*2,IF('Исходные данные'!K10=4,'Исходные данные'!H10*2,"---"))))</f>
        <v>---</v>
      </c>
      <c r="G11" s="37" t="e">
        <f>'Пила УВК'!#REF!</f>
        <v>#REF!</v>
      </c>
      <c r="H11" s="1" t="e">
        <f>((('Исходные данные'!F10-2)-(('Пила УВК'!#REF!-1)*'Ножницы лента'!G11))/2)</f>
        <v>#REF!</v>
      </c>
      <c r="I11" s="1" t="str">
        <f>IF('Исходные данные'!J10=1,"сталь 65Г",IF('Исходные данные'!J10=2,"сталь 65Г",IF('Исходные данные'!J10=3,"бронза",IF('Исходные данные'!J10=4,"сталь 65Г","---"))))</f>
        <v>---</v>
      </c>
    </row>
    <row r="12" spans="1:9">
      <c r="A12" s="37">
        <f>'Исходные данные'!B11</f>
        <v>0</v>
      </c>
      <c r="B12" s="37">
        <f>'Исходные данные'!C11</f>
        <v>0</v>
      </c>
      <c r="C12" s="37">
        <f>'Исходные данные'!D11</f>
        <v>0</v>
      </c>
      <c r="D12" s="2"/>
      <c r="E12" s="7">
        <f>IF('Исходные данные'!K11=1,'Исходные данные'!F11-2,IF('Исходные данные'!K11=2,'Исходные данные'!F11-2,IF('Исходные данные'!K11=3,'Исходные данные'!F11-2,IF('Исходные данные'!K11=4,"---",0))))</f>
        <v>0</v>
      </c>
      <c r="F12" s="16" t="str">
        <f>IF('Исходные данные'!K11=1,'Исходные данные'!H11*2,IF('Исходные данные'!K11=2,'Исходные данные'!H11*2,IF('Исходные данные'!K11=3,'Исходные данные'!H11*2,IF('Исходные данные'!K11=4,'Исходные данные'!H11*2,"---"))))</f>
        <v>---</v>
      </c>
      <c r="G12" s="37" t="e">
        <f>'Пила УВК'!#REF!</f>
        <v>#REF!</v>
      </c>
      <c r="H12" s="1" t="e">
        <f>((('Исходные данные'!F11-2)-(('Пила УВК'!#REF!-1)*'Ножницы лента'!G12))/2)</f>
        <v>#REF!</v>
      </c>
      <c r="I12" s="1" t="str">
        <f>IF('Исходные данные'!J11=1,"сталь 65Г",IF('Исходные данные'!J11=2,"сталь 65Г",IF('Исходные данные'!J11=3,"бронза",IF('Исходные данные'!J11=4,"сталь 65Г","---"))))</f>
        <v>---</v>
      </c>
    </row>
    <row r="13" spans="1:9">
      <c r="A13" s="37">
        <f>'Исходные данные'!B12</f>
        <v>0</v>
      </c>
      <c r="B13" s="37">
        <f>'Исходные данные'!C12</f>
        <v>0</v>
      </c>
      <c r="C13" s="37">
        <f>'Исходные данные'!D12</f>
        <v>0</v>
      </c>
      <c r="D13" s="2"/>
      <c r="E13" s="7">
        <f>IF('Исходные данные'!K12=1,'Исходные данные'!F12-2,IF('Исходные данные'!K12=2,'Исходные данные'!F12-2,IF('Исходные данные'!K12=3,'Исходные данные'!F12-2,IF('Исходные данные'!K12=4,"---",0))))</f>
        <v>0</v>
      </c>
      <c r="F13" s="16" t="str">
        <f>IF('Исходные данные'!K12=1,'Исходные данные'!H12*2,IF('Исходные данные'!K12=2,'Исходные данные'!H12*2,IF('Исходные данные'!K12=3,'Исходные данные'!H12*2,IF('Исходные данные'!K12=4,'Исходные данные'!H12*2,"---"))))</f>
        <v>---</v>
      </c>
      <c r="G13" s="37" t="e">
        <f>'Пила УВК'!#REF!</f>
        <v>#REF!</v>
      </c>
      <c r="H13" s="1" t="e">
        <f>((('Исходные данные'!F12-2)-(('Пила УВК'!#REF!-1)*'Ножницы лента'!G13))/2)</f>
        <v>#REF!</v>
      </c>
      <c r="I13" s="1" t="str">
        <f>IF('Исходные данные'!J12=1,"сталь 65Г",IF('Исходные данные'!J12=2,"сталь 65Г",IF('Исходные данные'!J12=3,"бронза",IF('Исходные данные'!J12=4,"сталь 65Г","---"))))</f>
        <v>---</v>
      </c>
    </row>
    <row r="14" spans="1:9">
      <c r="A14" s="37">
        <f>'Исходные данные'!B13</f>
        <v>0</v>
      </c>
      <c r="B14" s="37">
        <f>'Исходные данные'!C13</f>
        <v>0</v>
      </c>
      <c r="C14" s="37">
        <f>'Исходные данные'!D13</f>
        <v>0</v>
      </c>
      <c r="D14" s="2"/>
      <c r="E14" s="7">
        <f>IF('Исходные данные'!K13=1,'Исходные данные'!F13-2,IF('Исходные данные'!K13=2,'Исходные данные'!F13-2,IF('Исходные данные'!K13=3,'Исходные данные'!F13-2,IF('Исходные данные'!K13=4,"---",0))))</f>
        <v>0</v>
      </c>
      <c r="F14" s="16" t="str">
        <f>IF('Исходные данные'!K13=1,'Исходные данные'!H13*2,IF('Исходные данные'!K13=2,'Исходные данные'!H13*2,IF('Исходные данные'!K13=3,'Исходные данные'!H13*2,IF('Исходные данные'!K13=4,'Исходные данные'!H13*2,"---"))))</f>
        <v>---</v>
      </c>
      <c r="G14" s="37" t="e">
        <f>'Пила УВК'!#REF!</f>
        <v>#REF!</v>
      </c>
      <c r="H14" s="1" t="e">
        <f>((('Исходные данные'!F13-2)-(('Пила УВК'!#REF!-1)*'Ножницы лента'!G14))/2)</f>
        <v>#REF!</v>
      </c>
      <c r="I14" s="1" t="str">
        <f>IF('Исходные данные'!J13=1,"сталь 65Г",IF('Исходные данные'!J13=2,"сталь 65Г",IF('Исходные данные'!J13=3,"бронза",IF('Исходные данные'!J13=4,"сталь 65Г","---"))))</f>
        <v>---</v>
      </c>
    </row>
    <row r="15" spans="1:9">
      <c r="A15" s="37">
        <f>'Исходные данные'!B14</f>
        <v>0</v>
      </c>
      <c r="B15" s="37">
        <f>'Исходные данные'!C14</f>
        <v>0</v>
      </c>
      <c r="C15" s="37">
        <f>'Исходные данные'!D14</f>
        <v>0</v>
      </c>
      <c r="D15" s="2"/>
      <c r="E15" s="7">
        <f>IF('Исходные данные'!K14=1,'Исходные данные'!F14-2,IF('Исходные данные'!K14=2,'Исходные данные'!F14-2,IF('Исходные данные'!K14=3,'Исходные данные'!F14-2,IF('Исходные данные'!K14=4,"---",0))))</f>
        <v>0</v>
      </c>
      <c r="F15" s="16" t="str">
        <f>IF('Исходные данные'!K14=1,'Исходные данные'!H14*2,IF('Исходные данные'!K14=2,'Исходные данные'!H14*2,IF('Исходные данные'!K14=3,'Исходные данные'!H14*2,IF('Исходные данные'!K14=4,'Исходные данные'!H14*2,"---"))))</f>
        <v>---</v>
      </c>
      <c r="G15" s="37" t="e">
        <f>'Пила УВК'!#REF!</f>
        <v>#REF!</v>
      </c>
      <c r="H15" s="1" t="e">
        <f>((('Исходные данные'!F14-2)-(('Пила УВК'!#REF!-1)*'Ножницы лента'!G15))/2)</f>
        <v>#REF!</v>
      </c>
      <c r="I15" s="1" t="str">
        <f>IF('Исходные данные'!J14=1,"сталь 65Г",IF('Исходные данные'!J14=2,"сталь 65Г",IF('Исходные данные'!J14=3,"бронза",IF('Исходные данные'!J14=4,"сталь 65Г","---"))))</f>
        <v>---</v>
      </c>
    </row>
    <row r="16" spans="1:9">
      <c r="A16" s="37">
        <f>'Исходные данные'!B15</f>
        <v>0</v>
      </c>
      <c r="B16" s="37">
        <f>'Исходные данные'!C15</f>
        <v>0</v>
      </c>
      <c r="C16" s="37">
        <f>'Исходные данные'!D15</f>
        <v>0</v>
      </c>
      <c r="D16" s="2"/>
      <c r="E16" s="7">
        <f>IF('Исходные данные'!K15=1,'Исходные данные'!F15-2,IF('Исходные данные'!K15=2,'Исходные данные'!F15-2,IF('Исходные данные'!K15=3,'Исходные данные'!F15-2,IF('Исходные данные'!K15=4,"---",0))))</f>
        <v>0</v>
      </c>
      <c r="F16" s="16" t="str">
        <f>IF('Исходные данные'!K15=1,'Исходные данные'!H15*2,IF('Исходные данные'!K15=2,'Исходные данные'!H15*2,IF('Исходные данные'!K15=3,'Исходные данные'!H15*2,IF('Исходные данные'!K15=4,'Исходные данные'!H15*2,"---"))))</f>
        <v>---</v>
      </c>
      <c r="G16" s="37" t="e">
        <f>'Пила УВК'!#REF!</f>
        <v>#REF!</v>
      </c>
      <c r="H16" s="1" t="e">
        <f>((('Исходные данные'!F15-2)-(('Пила УВК'!#REF!-1)*'Ножницы лента'!G16))/2)</f>
        <v>#REF!</v>
      </c>
      <c r="I16" s="1" t="str">
        <f>IF('Исходные данные'!J15=1,"сталь 65Г",IF('Исходные данные'!J15=2,"сталь 65Г",IF('Исходные данные'!J15=3,"бронза",IF('Исходные данные'!J15=4,"сталь 65Г","---"))))</f>
        <v>---</v>
      </c>
    </row>
    <row r="17" spans="1:9">
      <c r="A17" s="37">
        <f>'Исходные данные'!B16</f>
        <v>0</v>
      </c>
      <c r="B17" s="37">
        <f>'Исходные данные'!C16</f>
        <v>0</v>
      </c>
      <c r="C17" s="37">
        <f>'Исходные данные'!D16</f>
        <v>0</v>
      </c>
      <c r="D17" s="2"/>
      <c r="E17" s="7">
        <f>IF('Исходные данные'!K16=1,'Исходные данные'!F16-2,IF('Исходные данные'!K16=2,'Исходные данные'!F16-2,IF('Исходные данные'!K16=3,'Исходные данные'!F16-2,IF('Исходные данные'!K16=4,"---",0))))</f>
        <v>0</v>
      </c>
      <c r="F17" s="16" t="str">
        <f>IF('Исходные данные'!K16=1,'Исходные данные'!H16*2,IF('Исходные данные'!K16=2,'Исходные данные'!H16*2,IF('Исходные данные'!K16=3,'Исходные данные'!H16*2,IF('Исходные данные'!K16=4,'Исходные данные'!H16*2,"---"))))</f>
        <v>---</v>
      </c>
      <c r="G17" s="37" t="e">
        <f>'Пила УВК'!#REF!</f>
        <v>#REF!</v>
      </c>
      <c r="H17" s="1" t="e">
        <f>((('Исходные данные'!F16-2)-(('Пила УВК'!#REF!-1)*'Ножницы лента'!G17))/2)</f>
        <v>#REF!</v>
      </c>
      <c r="I17" s="1" t="str">
        <f>IF('Исходные данные'!J16=1,"сталь 65Г",IF('Исходные данные'!J16=2,"сталь 65Г",IF('Исходные данные'!J16=3,"бронза",IF('Исходные данные'!J16=4,"сталь 65Г","---"))))</f>
        <v>---</v>
      </c>
    </row>
    <row r="18" spans="1:9">
      <c r="A18" s="37">
        <f>'Исходные данные'!B17</f>
        <v>0</v>
      </c>
      <c r="B18" s="37">
        <f>'Исходные данные'!C17</f>
        <v>0</v>
      </c>
      <c r="C18" s="37">
        <f>'Исходные данные'!D17</f>
        <v>0</v>
      </c>
      <c r="D18" s="2"/>
      <c r="E18" s="7">
        <f>IF('Исходные данные'!K17=1,'Исходные данные'!F17-2,IF('Исходные данные'!K17=2,'Исходные данные'!F17-2,IF('Исходные данные'!K17=3,'Исходные данные'!F17-2,IF('Исходные данные'!K17=4,"---",0))))</f>
        <v>0</v>
      </c>
      <c r="F18" s="16" t="str">
        <f>IF('Исходные данные'!K17=1,'Исходные данные'!H17*2,IF('Исходные данные'!K17=2,'Исходные данные'!H17*2,IF('Исходные данные'!K17=3,'Исходные данные'!H17*2,IF('Исходные данные'!K17=4,'Исходные данные'!H17*2,"---"))))</f>
        <v>---</v>
      </c>
      <c r="G18" s="37" t="e">
        <f>'Пила УВК'!#REF!</f>
        <v>#REF!</v>
      </c>
      <c r="H18" s="1" t="e">
        <f>((('Исходные данные'!F17-2)-(('Пила УВК'!#REF!-1)*'Ножницы лента'!G18))/2)</f>
        <v>#REF!</v>
      </c>
      <c r="I18" s="1" t="str">
        <f>IF('Исходные данные'!J17=1,"сталь 65Г",IF('Исходные данные'!J17=2,"сталь 65Г",IF('Исходные данные'!J17=3,"бронза",IF('Исходные данные'!J17=4,"сталь 65Г","---"))))</f>
        <v>---</v>
      </c>
    </row>
    <row r="19" spans="1:9">
      <c r="A19" s="37">
        <f>'Исходные данные'!B18</f>
        <v>0</v>
      </c>
      <c r="B19" s="37">
        <f>'Исходные данные'!C18</f>
        <v>0</v>
      </c>
      <c r="C19" s="37">
        <f>'Исходные данные'!D18</f>
        <v>0</v>
      </c>
      <c r="D19" s="2"/>
      <c r="E19" s="7">
        <f>IF('Исходные данные'!K18=1,'Исходные данные'!F18-2,IF('Исходные данные'!K18=2,'Исходные данные'!F18-2,IF('Исходные данные'!K18=3,'Исходные данные'!F18-2,IF('Исходные данные'!K18=4,"---",0))))</f>
        <v>0</v>
      </c>
      <c r="F19" s="16" t="str">
        <f>IF('Исходные данные'!K18=1,'Исходные данные'!H18*2,IF('Исходные данные'!K18=2,'Исходные данные'!H18*2,IF('Исходные данные'!K18=3,'Исходные данные'!H18*2,IF('Исходные данные'!K18=4,'Исходные данные'!H18*2,"---"))))</f>
        <v>---</v>
      </c>
      <c r="G19" s="37" t="e">
        <f>'Пила УВК'!#REF!</f>
        <v>#REF!</v>
      </c>
      <c r="H19" s="1" t="e">
        <f>((('Исходные данные'!F18-2)-(('Пила УВК'!#REF!-1)*'Ножницы лента'!G19))/2)</f>
        <v>#REF!</v>
      </c>
      <c r="I19" s="1" t="str">
        <f>IF('Исходные данные'!J18=1,"сталь 65Г",IF('Исходные данные'!J18=2,"сталь 65Г",IF('Исходные данные'!J18=3,"бронза",IF('Исходные данные'!J18=4,"сталь 65Г","---"))))</f>
        <v>---</v>
      </c>
    </row>
    <row r="20" spans="1:9">
      <c r="A20" s="37">
        <f>'Исходные данные'!B19</f>
        <v>0</v>
      </c>
      <c r="B20" s="37">
        <f>'Исходные данные'!C19</f>
        <v>0</v>
      </c>
      <c r="C20" s="37">
        <f>'Исходные данные'!D19</f>
        <v>0</v>
      </c>
      <c r="D20" s="2"/>
      <c r="E20" s="7">
        <f>IF('Исходные данные'!K19=1,'Исходные данные'!F19-2,IF('Исходные данные'!K19=2,'Исходные данные'!F19-2,IF('Исходные данные'!K19=3,'Исходные данные'!F19-2,IF('Исходные данные'!K19=4,"---",0))))</f>
        <v>0</v>
      </c>
      <c r="F20" s="16" t="str">
        <f>IF('Исходные данные'!K19=1,'Исходные данные'!H19*2,IF('Исходные данные'!K19=2,'Исходные данные'!H19*2,IF('Исходные данные'!K19=3,'Исходные данные'!H19*2,IF('Исходные данные'!K19=4,'Исходные данные'!H19*2,"---"))))</f>
        <v>---</v>
      </c>
      <c r="G20" s="37" t="e">
        <f>'Пила УВК'!#REF!</f>
        <v>#REF!</v>
      </c>
      <c r="H20" s="1" t="e">
        <f>((('Исходные данные'!F19-2)-(('Пила УВК'!#REF!-1)*'Ножницы лента'!G20))/2)</f>
        <v>#REF!</v>
      </c>
      <c r="I20" s="1" t="str">
        <f>IF('Исходные данные'!J19=1,"сталь 65Г",IF('Исходные данные'!J19=2,"сталь 65Г",IF('Исходные данные'!J19=3,"бронза",IF('Исходные данные'!J19=4,"сталь 65Г","---"))))</f>
        <v>---</v>
      </c>
    </row>
    <row r="21" spans="1:9">
      <c r="A21" s="37">
        <f>'Исходные данные'!B20</f>
        <v>0</v>
      </c>
      <c r="B21" s="37">
        <f>'Исходные данные'!C20</f>
        <v>0</v>
      </c>
      <c r="C21" s="37">
        <f>'Исходные данные'!D20</f>
        <v>0</v>
      </c>
      <c r="D21" s="2"/>
      <c r="E21" s="7">
        <f>IF('Исходные данные'!K20=1,'Исходные данные'!F20-2,IF('Исходные данные'!K20=2,'Исходные данные'!F20-2,IF('Исходные данные'!K20=3,'Исходные данные'!F20-2,IF('Исходные данные'!K20=4,"---",0))))</f>
        <v>0</v>
      </c>
      <c r="F21" s="16" t="str">
        <f>IF('Исходные данные'!K20=1,'Исходные данные'!H20*2,IF('Исходные данные'!K20=2,'Исходные данные'!H20*2,IF('Исходные данные'!K20=3,'Исходные данные'!H20*2,IF('Исходные данные'!K20=4,'Исходные данные'!H20*2,"---"))))</f>
        <v>---</v>
      </c>
      <c r="G21" s="37" t="e">
        <f>'Пила УВК'!#REF!</f>
        <v>#REF!</v>
      </c>
      <c r="H21" s="1" t="e">
        <f>((('Исходные данные'!F20-2)-(('Пила УВК'!#REF!-1)*'Ножницы лента'!G21))/2)</f>
        <v>#REF!</v>
      </c>
      <c r="I21" s="1" t="str">
        <f>IF('Исходные данные'!J20=1,"сталь 65Г",IF('Исходные данные'!J20=2,"сталь 65Г",IF('Исходные данные'!J20=3,"бронза",IF('Исходные данные'!J20=4,"сталь 65Г","---"))))</f>
        <v>---</v>
      </c>
    </row>
    <row r="22" spans="1:9">
      <c r="A22" s="37">
        <f>'Исходные данные'!B21</f>
        <v>0</v>
      </c>
      <c r="B22" s="37">
        <f>'Исходные данные'!C21</f>
        <v>0</v>
      </c>
      <c r="C22" s="37">
        <f>'Исходные данные'!D21</f>
        <v>0</v>
      </c>
      <c r="D22" s="2"/>
      <c r="E22" s="7">
        <f>IF('Исходные данные'!K21=1,'Исходные данные'!F21-2,IF('Исходные данные'!K21=2,'Исходные данные'!F21-2,IF('Исходные данные'!K21=3,'Исходные данные'!F21-2,IF('Исходные данные'!K21=4,"---",0))))</f>
        <v>0</v>
      </c>
      <c r="F22" s="16" t="str">
        <f>IF('Исходные данные'!K21=1,'Исходные данные'!H21*2,IF('Исходные данные'!K21=2,'Исходные данные'!H21*2,IF('Исходные данные'!K21=3,'Исходные данные'!H21*2,IF('Исходные данные'!K21=4,'Исходные данные'!H21*2,"---"))))</f>
        <v>---</v>
      </c>
      <c r="G22" s="37" t="e">
        <f>'Пила УВК'!#REF!</f>
        <v>#REF!</v>
      </c>
      <c r="H22" s="1" t="e">
        <f>((('Исходные данные'!F21-2)-(('Пила УВК'!#REF!-1)*'Ножницы лента'!G22))/2)</f>
        <v>#REF!</v>
      </c>
      <c r="I22" s="1" t="str">
        <f>IF('Исходные данные'!J21=1,"сталь 65Г",IF('Исходные данные'!J21=2,"сталь 65Г",IF('Исходные данные'!J21=3,"бронза",IF('Исходные данные'!J21=4,"сталь 65Г","---"))))</f>
        <v>---</v>
      </c>
    </row>
    <row r="23" spans="1:9">
      <c r="A23" s="37">
        <f>'Исходные данные'!B22</f>
        <v>0</v>
      </c>
      <c r="B23" s="37">
        <f>'Исходные данные'!C22</f>
        <v>0</v>
      </c>
      <c r="C23" s="37">
        <f>'Исходные данные'!D22</f>
        <v>0</v>
      </c>
      <c r="D23" s="2"/>
      <c r="E23" s="7">
        <f>IF('Исходные данные'!K22=1,'Исходные данные'!F22-2,IF('Исходные данные'!K22=2,'Исходные данные'!F22-2,IF('Исходные данные'!K22=3,'Исходные данные'!F22-2,IF('Исходные данные'!K22=4,"---",0))))</f>
        <v>0</v>
      </c>
      <c r="F23" s="16" t="str">
        <f>IF('Исходные данные'!K22=1,'Исходные данные'!H22*2,IF('Исходные данные'!K22=2,'Исходные данные'!H22*2,IF('Исходные данные'!K22=3,'Исходные данные'!H22*2,IF('Исходные данные'!K22=4,'Исходные данные'!H22*2,"---"))))</f>
        <v>---</v>
      </c>
      <c r="G23" s="37" t="e">
        <f>'Пила УВК'!#REF!</f>
        <v>#REF!</v>
      </c>
      <c r="H23" s="1" t="e">
        <f>((('Исходные данные'!F22-2)-(('Пила УВК'!#REF!-1)*'Ножницы лента'!G23))/2)</f>
        <v>#REF!</v>
      </c>
      <c r="I23" s="1" t="str">
        <f>IF('Исходные данные'!J22=1,"сталь 65Г",IF('Исходные данные'!J22=2,"сталь 65Г",IF('Исходные данные'!J22=3,"бронза",IF('Исходные данные'!J22=4,"сталь 65Г","---"))))</f>
        <v>---</v>
      </c>
    </row>
    <row r="24" spans="1:9">
      <c r="A24" s="37">
        <f>'Исходные данные'!B23</f>
        <v>0</v>
      </c>
      <c r="B24" s="37">
        <f>'Исходные данные'!C23</f>
        <v>0</v>
      </c>
      <c r="C24" s="37">
        <f>'Исходные данные'!D23</f>
        <v>0</v>
      </c>
      <c r="D24" s="2"/>
      <c r="E24" s="7">
        <f>IF('Исходные данные'!K23=1,'Исходные данные'!F23-2,IF('Исходные данные'!K23=2,'Исходные данные'!F23-2,IF('Исходные данные'!K23=3,'Исходные данные'!F23-2,IF('Исходные данные'!K23=4,"---",0))))</f>
        <v>0</v>
      </c>
      <c r="F24" s="16" t="str">
        <f>IF('Исходные данные'!K23=1,'Исходные данные'!H23*2,IF('Исходные данные'!K23=2,'Исходные данные'!H23*2,IF('Исходные данные'!K23=3,'Исходные данные'!H23*2,IF('Исходные данные'!K23=4,'Исходные данные'!H23*2,"---"))))</f>
        <v>---</v>
      </c>
      <c r="G24" s="37" t="e">
        <f>'Пила УВК'!#REF!</f>
        <v>#REF!</v>
      </c>
      <c r="H24" s="1" t="e">
        <f>((('Исходные данные'!F23-2)-(('Пила УВК'!#REF!-1)*'Ножницы лента'!G24))/2)</f>
        <v>#REF!</v>
      </c>
      <c r="I24" s="1" t="str">
        <f>IF('Исходные данные'!J23=1,"сталь 65Г",IF('Исходные данные'!J23=2,"сталь 65Г",IF('Исходные данные'!J23=3,"бронза",IF('Исходные данные'!J23=4,"сталь 65Г","---"))))</f>
        <v>---</v>
      </c>
    </row>
    <row r="25" spans="1:9">
      <c r="A25" s="37">
        <f>'Исходные данные'!B24</f>
        <v>0</v>
      </c>
      <c r="B25" s="37">
        <f>'Исходные данные'!C24</f>
        <v>0</v>
      </c>
      <c r="C25" s="37">
        <f>'Исходные данные'!D24</f>
        <v>0</v>
      </c>
      <c r="D25" s="2"/>
      <c r="E25" s="7">
        <f>IF('Исходные данные'!K24=1,'Исходные данные'!F24-2,IF('Исходные данные'!K24=2,'Исходные данные'!F24-2,IF('Исходные данные'!K24=3,'Исходные данные'!F24-2,IF('Исходные данные'!K24=4,"---",0))))</f>
        <v>0</v>
      </c>
      <c r="F25" s="16" t="str">
        <f>IF('Исходные данные'!K24=1,'Исходные данные'!H24*2,IF('Исходные данные'!K24=2,'Исходные данные'!H24*2,IF('Исходные данные'!K24=3,'Исходные данные'!H24*2,IF('Исходные данные'!K24=4,'Исходные данные'!H24*2,"---"))))</f>
        <v>---</v>
      </c>
      <c r="G25" s="37" t="e">
        <f>'Пила УВК'!#REF!</f>
        <v>#REF!</v>
      </c>
      <c r="H25" s="1" t="e">
        <f>((('Исходные данные'!F24-2)-(('Пила УВК'!#REF!-1)*'Ножницы лента'!G25))/2)</f>
        <v>#REF!</v>
      </c>
      <c r="I25" s="1" t="str">
        <f>IF('Исходные данные'!J24=1,"сталь 65Г",IF('Исходные данные'!J24=2,"сталь 65Г",IF('Исходные данные'!J24=3,"бронза",IF('Исходные данные'!J24=4,"сталь 65Г","---"))))</f>
        <v>---</v>
      </c>
    </row>
    <row r="26" spans="1:9">
      <c r="A26" s="37">
        <f>'Исходные данные'!B25</f>
        <v>0</v>
      </c>
      <c r="B26" s="37">
        <f>'Исходные данные'!C25</f>
        <v>0</v>
      </c>
      <c r="C26" s="37">
        <f>'Исходные данные'!D25</f>
        <v>0</v>
      </c>
      <c r="D26" s="2"/>
      <c r="E26" s="7">
        <f>IF('Исходные данные'!K25=1,'Исходные данные'!F25-2,IF('Исходные данные'!K25=2,'Исходные данные'!F25-2,IF('Исходные данные'!K25=3,'Исходные данные'!F25-2,IF('Исходные данные'!K25=4,"---",0))))</f>
        <v>0</v>
      </c>
      <c r="F26" s="16" t="str">
        <f>IF('Исходные данные'!K25=1,'Исходные данные'!H25*2,IF('Исходные данные'!K25=2,'Исходные данные'!H25*2,IF('Исходные данные'!K25=3,'Исходные данные'!H25*2,IF('Исходные данные'!K25=4,'Исходные данные'!H25*2,"---"))))</f>
        <v>---</v>
      </c>
      <c r="G26" s="37" t="e">
        <f>'Пила УВК'!#REF!</f>
        <v>#REF!</v>
      </c>
      <c r="H26" s="1" t="e">
        <f>((('Исходные данные'!F25-2)-(('Пила УВК'!#REF!-1)*'Ножницы лента'!G26))/2)</f>
        <v>#REF!</v>
      </c>
      <c r="I26" s="1" t="str">
        <f>IF('Исходные данные'!J25=1,"сталь 65Г",IF('Исходные данные'!J25=2,"сталь 65Г",IF('Исходные данные'!J25=3,"бронза",IF('Исходные данные'!J25=4,"сталь 65Г","---"))))</f>
        <v>---</v>
      </c>
    </row>
    <row r="27" spans="1:9">
      <c r="A27" s="37">
        <f>'Исходные данные'!B26</f>
        <v>0</v>
      </c>
      <c r="B27" s="37">
        <f>'Исходные данные'!C26</f>
        <v>0</v>
      </c>
      <c r="C27" s="37">
        <f>'Исходные данные'!D26</f>
        <v>0</v>
      </c>
      <c r="D27" s="2"/>
      <c r="E27" s="7">
        <f>IF('Исходные данные'!K26=1,'Исходные данные'!F26-2,IF('Исходные данные'!K26=2,'Исходные данные'!F26-2,IF('Исходные данные'!K26=3,'Исходные данные'!F26-2,IF('Исходные данные'!K26=4,"---",0))))</f>
        <v>0</v>
      </c>
      <c r="F27" s="16" t="str">
        <f>IF('Исходные данные'!K26=1,'Исходные данные'!H26*2,IF('Исходные данные'!K26=2,'Исходные данные'!H26*2,IF('Исходные данные'!K26=3,'Исходные данные'!H26*2,IF('Исходные данные'!K26=4,'Исходные данные'!H26*2,"---"))))</f>
        <v>---</v>
      </c>
      <c r="G27" s="37" t="e">
        <f>'Пила УВК'!#REF!</f>
        <v>#REF!</v>
      </c>
      <c r="H27" s="1" t="e">
        <f>((('Исходные данные'!F26-2)-(('Пила УВК'!#REF!-1)*'Ножницы лента'!G27))/2)</f>
        <v>#REF!</v>
      </c>
      <c r="I27" s="1" t="str">
        <f>IF('Исходные данные'!J26=1,"сталь 65Г",IF('Исходные данные'!J26=2,"сталь 65Г",IF('Исходные данные'!J26=3,"бронза",IF('Исходные данные'!J26=4,"сталь 65Г","---"))))</f>
        <v>---</v>
      </c>
    </row>
    <row r="28" spans="1:9">
      <c r="A28" s="41" t="s">
        <v>66</v>
      </c>
      <c r="B28" t="s">
        <v>33</v>
      </c>
      <c r="C28" s="79" t="s">
        <v>35</v>
      </c>
      <c r="D28" s="79"/>
      <c r="E28" s="79"/>
      <c r="F28" s="79"/>
      <c r="H28">
        <f>'Исходные данные'!AG30</f>
        <v>0</v>
      </c>
      <c r="I28" t="s">
        <v>67</v>
      </c>
    </row>
    <row r="29" spans="1:9">
      <c r="A29" s="41" t="s">
        <v>51</v>
      </c>
      <c r="B29" t="s">
        <v>33</v>
      </c>
      <c r="C29" s="79" t="s">
        <v>50</v>
      </c>
      <c r="D29" s="79"/>
      <c r="E29" s="79"/>
      <c r="F29" s="79"/>
      <c r="H29">
        <f>'Исходные данные'!V30</f>
        <v>0</v>
      </c>
      <c r="I29" t="s">
        <v>67</v>
      </c>
    </row>
    <row r="30" spans="1:9" ht="18.75">
      <c r="B30" s="23" t="str">
        <f>'Пила УВК'!B33</f>
        <v>Срок</v>
      </c>
      <c r="C30" s="23"/>
      <c r="D30" s="99"/>
      <c r="E30" s="99"/>
    </row>
    <row r="32" spans="1:9">
      <c r="B32" t="str">
        <f>'Пила УВК'!B35</f>
        <v>Мастер_______________________________</v>
      </c>
    </row>
    <row r="33" spans="1:10" ht="21">
      <c r="A33" s="44" t="s">
        <v>69</v>
      </c>
      <c r="B33" s="45"/>
      <c r="C33" s="45"/>
      <c r="D33" s="45"/>
      <c r="E33" s="45"/>
      <c r="F33" s="45"/>
      <c r="G33" s="45"/>
      <c r="H33" s="46" t="s">
        <v>31</v>
      </c>
      <c r="I33" s="46"/>
      <c r="J33" s="44"/>
    </row>
    <row r="34" spans="1:10" ht="18.75">
      <c r="A34" s="44"/>
      <c r="B34" s="46" t="s">
        <v>70</v>
      </c>
      <c r="C34" s="46"/>
      <c r="D34" s="46"/>
      <c r="E34" s="46"/>
      <c r="F34" s="46"/>
      <c r="G34" s="46">
        <f>'Исходные данные'!F4</f>
        <v>0</v>
      </c>
      <c r="H34" s="44"/>
      <c r="I34" s="44"/>
      <c r="J34" s="44"/>
    </row>
    <row r="35" spans="1:10">
      <c r="A35" s="44"/>
      <c r="B35" s="44" t="s">
        <v>71</v>
      </c>
      <c r="C35" s="44"/>
      <c r="D35" s="44"/>
      <c r="E35" s="44"/>
      <c r="F35" s="44"/>
      <c r="G35" s="44"/>
      <c r="H35" s="44"/>
      <c r="I35" s="44"/>
      <c r="J35" s="44"/>
    </row>
    <row r="36" spans="1:10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0">
      <c r="A37" s="44"/>
      <c r="B37" s="44" t="s">
        <v>66</v>
      </c>
      <c r="C37" s="44" t="s">
        <v>72</v>
      </c>
      <c r="D37" s="44"/>
      <c r="E37" s="44"/>
      <c r="F37" s="44"/>
      <c r="G37" s="44" t="s">
        <v>195</v>
      </c>
      <c r="H37" s="44"/>
      <c r="I37" s="44"/>
      <c r="J37" s="44"/>
    </row>
    <row r="38" spans="1:10">
      <c r="A38" s="44"/>
      <c r="B38" s="44"/>
      <c r="C38" s="44"/>
      <c r="D38" s="44"/>
      <c r="E38" s="44"/>
      <c r="F38" s="44"/>
      <c r="G38" s="44"/>
      <c r="H38" s="44"/>
      <c r="I38" s="44"/>
      <c r="J38" s="44"/>
    </row>
    <row r="39" spans="1:10">
      <c r="A39" s="44"/>
      <c r="B39" s="44" t="s">
        <v>73</v>
      </c>
      <c r="C39" s="44"/>
      <c r="D39" s="44"/>
      <c r="E39" s="44"/>
      <c r="F39" s="44"/>
      <c r="G39" s="44" t="s">
        <v>195</v>
      </c>
      <c r="H39" s="44"/>
      <c r="I39" s="44"/>
      <c r="J39" s="44"/>
    </row>
    <row r="40" spans="1:10">
      <c r="A40" s="44"/>
      <c r="B40" s="44"/>
      <c r="C40" s="44"/>
      <c r="D40" s="44"/>
      <c r="E40" s="44"/>
      <c r="F40" s="44"/>
      <c r="G40" s="44"/>
      <c r="H40" s="44"/>
      <c r="I40" s="44"/>
      <c r="J40" s="44"/>
    </row>
    <row r="41" spans="1:10">
      <c r="A41" s="44"/>
      <c r="B41" s="44" t="s">
        <v>74</v>
      </c>
      <c r="C41" s="44"/>
      <c r="D41" s="44"/>
      <c r="E41" s="44"/>
      <c r="F41" s="44"/>
      <c r="G41" s="44" t="s">
        <v>195</v>
      </c>
      <c r="H41" s="44"/>
      <c r="I41" s="44"/>
      <c r="J41" s="44"/>
    </row>
    <row r="42" spans="1:10">
      <c r="A42" s="44"/>
      <c r="B42" s="44"/>
      <c r="C42" s="44"/>
      <c r="D42" s="44"/>
      <c r="E42" s="44"/>
      <c r="F42" s="44"/>
      <c r="G42" s="44"/>
      <c r="H42" s="44"/>
      <c r="I42" s="44"/>
      <c r="J42" s="44"/>
    </row>
  </sheetData>
  <mergeCells count="12">
    <mergeCell ref="I5:I6"/>
    <mergeCell ref="A2:H2"/>
    <mergeCell ref="A3:H3"/>
    <mergeCell ref="B5:C6"/>
    <mergeCell ref="D30:E30"/>
    <mergeCell ref="C28:F28"/>
    <mergeCell ref="A5:A6"/>
    <mergeCell ref="D5:F5"/>
    <mergeCell ref="D6:E6"/>
    <mergeCell ref="A4:B4"/>
    <mergeCell ref="C4:D4"/>
    <mergeCell ref="C29:F29"/>
  </mergeCells>
  <pageMargins left="0.70866141732283472" right="0.70866141732283472" top="0.74803149606299213" bottom="0.74803149606299213" header="0.31496062992125984" footer="0.31496062992125984"/>
  <pageSetup paperSize="9" scale="9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6"/>
  <sheetViews>
    <sheetView topLeftCell="A3" workbookViewId="0">
      <selection activeCell="J16" sqref="J16"/>
    </sheetView>
  </sheetViews>
  <sheetFormatPr defaultRowHeight="15"/>
  <cols>
    <col min="1" max="1" width="10.28515625" customWidth="1"/>
    <col min="2" max="2" width="8.7109375" customWidth="1"/>
    <col min="3" max="3" width="3.7109375" customWidth="1"/>
    <col min="4" max="4" width="5.85546875" customWidth="1"/>
    <col min="5" max="5" width="5.7109375" customWidth="1"/>
    <col min="6" max="6" width="8.28515625" customWidth="1"/>
    <col min="7" max="7" width="7.28515625" customWidth="1"/>
    <col min="8" max="8" width="7" customWidth="1"/>
    <col min="9" max="9" width="6.28515625" customWidth="1"/>
    <col min="10" max="10" width="6.7109375" customWidth="1"/>
  </cols>
  <sheetData>
    <row r="2" spans="1:12" ht="18.75">
      <c r="A2" s="92" t="s">
        <v>193</v>
      </c>
      <c r="B2" s="92"/>
      <c r="C2" s="92"/>
      <c r="D2" s="92"/>
      <c r="E2" s="92"/>
      <c r="F2" s="92"/>
      <c r="G2" s="92"/>
      <c r="H2" s="92"/>
      <c r="I2" s="92"/>
    </row>
    <row r="3" spans="1:12" ht="18.75">
      <c r="A3" s="92" t="s">
        <v>197</v>
      </c>
      <c r="B3" s="92"/>
      <c r="C3" s="92"/>
      <c r="D3" s="92"/>
      <c r="E3" s="92"/>
      <c r="F3" s="92"/>
      <c r="G3" s="92"/>
      <c r="H3" s="92"/>
      <c r="I3" s="92"/>
    </row>
    <row r="4" spans="1:12" ht="21.75" thickBot="1">
      <c r="A4" s="114" t="e">
        <f>#REF!</f>
        <v>#REF!</v>
      </c>
      <c r="B4" s="115"/>
      <c r="D4" s="114" t="e">
        <f>#REF!</f>
        <v>#REF!</v>
      </c>
      <c r="E4" s="115"/>
    </row>
    <row r="5" spans="1:12" ht="53.25" customHeight="1">
      <c r="A5" s="85" t="s">
        <v>8</v>
      </c>
      <c r="B5" s="100" t="s">
        <v>0</v>
      </c>
      <c r="C5" s="100"/>
      <c r="D5" s="105" t="s">
        <v>29</v>
      </c>
      <c r="E5" s="106"/>
      <c r="F5" s="117" t="s">
        <v>12</v>
      </c>
      <c r="G5" s="101"/>
      <c r="H5" s="101"/>
      <c r="I5" s="59" t="s">
        <v>32</v>
      </c>
      <c r="J5" s="116" t="s">
        <v>190</v>
      </c>
      <c r="K5" s="116"/>
    </row>
    <row r="6" spans="1:12" ht="30" customHeight="1">
      <c r="A6" s="86"/>
      <c r="B6" s="100"/>
      <c r="C6" s="100"/>
      <c r="D6" s="15" t="s">
        <v>27</v>
      </c>
      <c r="E6" s="15" t="s">
        <v>28</v>
      </c>
      <c r="F6" s="20" t="s">
        <v>10</v>
      </c>
      <c r="G6" s="9" t="s">
        <v>9</v>
      </c>
      <c r="H6" s="27" t="s">
        <v>6</v>
      </c>
      <c r="I6" s="26"/>
      <c r="J6" s="58" t="s">
        <v>191</v>
      </c>
      <c r="K6" s="58" t="s">
        <v>192</v>
      </c>
      <c r="L6" s="54"/>
    </row>
    <row r="7" spans="1:12" ht="21.75" customHeight="1">
      <c r="A7" s="2">
        <f>'Исходные данные'!B6</f>
        <v>0</v>
      </c>
      <c r="B7" s="2">
        <f>'Исходные данные'!C6</f>
        <v>0</v>
      </c>
      <c r="C7" s="2">
        <f>'Исходные данные'!D6</f>
        <v>0</v>
      </c>
      <c r="D7" s="2">
        <f>'Исходные данные'!F6</f>
        <v>0</v>
      </c>
      <c r="E7" s="2">
        <f>'Исходные данные'!G6</f>
        <v>0</v>
      </c>
      <c r="F7" s="7" t="str">
        <f>IF('Исходные данные'!$K$1='Ножницы упор'!B7,(('Исходные данные'!F6+3)-('Пила УВК'!#REF!*'Пила УВК'!#REF!))/2+47,"---")</f>
        <v>---</v>
      </c>
      <c r="G7" s="7" t="str">
        <f>IF('Исходные данные'!K6=1,'Исходные данные'!G6-3,IF('Исходные данные'!K6=3,'Исходные данные'!G6-3,"---"))</f>
        <v>---</v>
      </c>
      <c r="H7" s="16">
        <f>IF('Исходные данные'!K6=1,'Исходные данные'!H6*2,IF('Исходные данные'!K6=3,'Исходные данные'!H6*2,0))</f>
        <v>0</v>
      </c>
      <c r="I7" s="1" t="str">
        <f>IF('Исходные данные'!J6=1,"ОЦ",IF('Исходные данные'!J6=2,"нерж",IF('Исходные данные'!J6=3,"латунь",IF('Исходные данные'!J6=4,"0,7 краш","---"))))</f>
        <v>---</v>
      </c>
      <c r="J7" s="1">
        <v>2.8000000000000001E-2</v>
      </c>
      <c r="K7" s="1">
        <v>1.2E-2</v>
      </c>
    </row>
    <row r="8" spans="1:12">
      <c r="A8" s="38">
        <f>'Исходные данные'!B7</f>
        <v>0</v>
      </c>
      <c r="B8" s="38">
        <f>'Исходные данные'!C7</f>
        <v>0</v>
      </c>
      <c r="C8" s="38">
        <f>'Исходные данные'!D7</f>
        <v>0</v>
      </c>
      <c r="D8" s="38">
        <f>'Исходные данные'!F7</f>
        <v>0</v>
      </c>
      <c r="E8" s="38">
        <f>'Исходные данные'!G7</f>
        <v>0</v>
      </c>
      <c r="F8" s="7" t="str">
        <f>IF('Исходные данные'!$K$1='Ножницы упор'!B8,(('Исходные данные'!F7+3)-('Пила УВК'!#REF!*'Пила УВК'!#REF!))/2+47,"---")</f>
        <v>---</v>
      </c>
      <c r="G8" s="7" t="str">
        <f>IF('Исходные данные'!K7=1,'Исходные данные'!G7-3,IF('Исходные данные'!K7=3,'Исходные данные'!G7-3,"---"))</f>
        <v>---</v>
      </c>
      <c r="H8" s="16">
        <f>IF('Исходные данные'!K7=1,'Исходные данные'!H7*2,IF('Исходные данные'!K7=3,'Исходные данные'!H7*2,0))</f>
        <v>0</v>
      </c>
      <c r="I8" s="1" t="str">
        <f>IF('Исходные данные'!J7=1,"ОЦ",IF('Исходные данные'!J7=2,"нерж",IF('Исходные данные'!J7=3,"латунь",IF('Исходные данные'!J7=4,"0,7 краш","---"))))</f>
        <v>---</v>
      </c>
      <c r="J8" s="1">
        <v>2.8000000000000001E-2</v>
      </c>
      <c r="K8" s="1">
        <v>1.2E-2</v>
      </c>
    </row>
    <row r="9" spans="1:12">
      <c r="A9" s="38">
        <f>'Исходные данные'!B8</f>
        <v>0</v>
      </c>
      <c r="B9" s="38">
        <f>'Исходные данные'!C8</f>
        <v>0</v>
      </c>
      <c r="C9" s="38">
        <f>'Исходные данные'!D8</f>
        <v>0</v>
      </c>
      <c r="D9" s="38">
        <f>'Исходные данные'!F8</f>
        <v>0</v>
      </c>
      <c r="E9" s="38">
        <f>'Исходные данные'!G8</f>
        <v>0</v>
      </c>
      <c r="F9" s="7" t="str">
        <f>IF('Исходные данные'!$K$1='Ножницы упор'!B9,(('Исходные данные'!F8+3)-('Пила УВК'!#REF!*'Пила УВК'!#REF!))/2+47,"---")</f>
        <v>---</v>
      </c>
      <c r="G9" s="7" t="str">
        <f>IF('Исходные данные'!K8=1,'Исходные данные'!G8-3,IF('Исходные данные'!K8=3,'Исходные данные'!G8-3,"---"))</f>
        <v>---</v>
      </c>
      <c r="H9" s="16">
        <f>IF('Исходные данные'!K8=1,'Исходные данные'!H8*2,IF('Исходные данные'!K8=3,'Исходные данные'!H8*2,0))</f>
        <v>0</v>
      </c>
      <c r="I9" s="1" t="str">
        <f>IF('Исходные данные'!J8=1,"ОЦ",IF('Исходные данные'!J8=2,"нерж",IF('Исходные данные'!J8=3,"латунь",IF('Исходные данные'!J8=4,"0,7 краш","---"))))</f>
        <v>---</v>
      </c>
      <c r="J9" s="1">
        <v>0</v>
      </c>
      <c r="K9" s="1">
        <v>0</v>
      </c>
    </row>
    <row r="10" spans="1:12">
      <c r="A10" s="38">
        <f>'Исходные данные'!B9</f>
        <v>0</v>
      </c>
      <c r="B10" s="38">
        <f>'Исходные данные'!C9</f>
        <v>0</v>
      </c>
      <c r="C10" s="38">
        <f>'Исходные данные'!D9</f>
        <v>0</v>
      </c>
      <c r="D10" s="38">
        <f>'Исходные данные'!F9</f>
        <v>0</v>
      </c>
      <c r="E10" s="38">
        <f>'Исходные данные'!G9</f>
        <v>0</v>
      </c>
      <c r="F10" s="7" t="str">
        <f>IF('Исходные данные'!$K$1='Ножницы упор'!B10,(('Исходные данные'!F9+3)-('Пила УВК'!#REF!*'Пила УВК'!#REF!))/2+47,"---")</f>
        <v>---</v>
      </c>
      <c r="G10" s="7" t="str">
        <f>IF('Исходные данные'!K9=1,'Исходные данные'!G9-3,IF('Исходные данные'!K9=3,'Исходные данные'!G9-3,"---"))</f>
        <v>---</v>
      </c>
      <c r="H10" s="16">
        <f>IF('Исходные данные'!K9=1,'Исходные данные'!H9*2,IF('Исходные данные'!K9=3,'Исходные данные'!H9*2,0))</f>
        <v>0</v>
      </c>
      <c r="I10" s="1" t="str">
        <f>IF('Исходные данные'!J9=1,"ОЦ",IF('Исходные данные'!J9=2,"нерж",IF('Исходные данные'!J9=3,"латунь",IF('Исходные данные'!J9=4,"0,7 краш","---"))))</f>
        <v>---</v>
      </c>
      <c r="J10" s="1">
        <v>0</v>
      </c>
      <c r="K10" s="1">
        <v>0</v>
      </c>
    </row>
    <row r="11" spans="1:12">
      <c r="A11" s="38">
        <f>'Исходные данные'!B10</f>
        <v>0</v>
      </c>
      <c r="B11" s="38">
        <f>'Исходные данные'!C10</f>
        <v>0</v>
      </c>
      <c r="C11" s="38">
        <f>'Исходные данные'!D10</f>
        <v>0</v>
      </c>
      <c r="D11" s="38">
        <f>'Исходные данные'!F10</f>
        <v>0</v>
      </c>
      <c r="E11" s="38">
        <f>'Исходные данные'!G10</f>
        <v>0</v>
      </c>
      <c r="F11" s="7" t="str">
        <f>IF('Исходные данные'!$K$1='Ножницы упор'!B11,(('Исходные данные'!F10+3)-('Пила УВК'!#REF!*'Пила УВК'!#REF!))/2+47,"---")</f>
        <v>---</v>
      </c>
      <c r="G11" s="7" t="str">
        <f>IF('Исходные данные'!K10=1,'Исходные данные'!G10-3,IF('Исходные данные'!K10=3,'Исходные данные'!G10-3,"---"))</f>
        <v>---</v>
      </c>
      <c r="H11" s="16">
        <f>IF('Исходные данные'!K10=1,'Исходные данные'!H10*2,IF('Исходные данные'!K10=3,'Исходные данные'!H10*2,0))</f>
        <v>0</v>
      </c>
      <c r="I11" s="1" t="str">
        <f>IF('Исходные данные'!J10=1,"ОЦ",IF('Исходные данные'!J10=2,"нерж",IF('Исходные данные'!J10=3,"латунь",IF('Исходные данные'!J10=4,"0,7 краш","---"))))</f>
        <v>---</v>
      </c>
      <c r="J11" s="1">
        <v>0</v>
      </c>
      <c r="K11" s="1">
        <v>0</v>
      </c>
    </row>
    <row r="12" spans="1:12">
      <c r="A12" s="38">
        <f>'Исходные данные'!B11</f>
        <v>0</v>
      </c>
      <c r="B12" s="38">
        <f>'Исходные данные'!C11</f>
        <v>0</v>
      </c>
      <c r="C12" s="38">
        <f>'Исходные данные'!D11</f>
        <v>0</v>
      </c>
      <c r="D12" s="38">
        <f>'Исходные данные'!F11</f>
        <v>0</v>
      </c>
      <c r="E12" s="38">
        <f>'Исходные данные'!G11</f>
        <v>0</v>
      </c>
      <c r="F12" s="7" t="str">
        <f>IF('Исходные данные'!$K$1='Ножницы упор'!B12,(('Исходные данные'!F11+3)-('Пила УВК'!#REF!*'Пила УВК'!#REF!))/2+47,"---")</f>
        <v>---</v>
      </c>
      <c r="G12" s="7" t="str">
        <f>IF('Исходные данные'!K11=1,'Исходные данные'!G11-3,IF('Исходные данные'!K11=3,'Исходные данные'!G11-3,"---"))</f>
        <v>---</v>
      </c>
      <c r="H12" s="16">
        <f>IF('Исходные данные'!K11=1,'Исходные данные'!H11*2,IF('Исходные данные'!K11=3,'Исходные данные'!H11*2,0))</f>
        <v>0</v>
      </c>
      <c r="I12" s="1" t="str">
        <f>IF('Исходные данные'!J11=1,"ОЦ",IF('Исходные данные'!J11=2,"нерж",IF('Исходные данные'!J11=3,"латунь",IF('Исходные данные'!J11=4,"0,7 краш","---"))))</f>
        <v>---</v>
      </c>
      <c r="J12" s="1">
        <v>0</v>
      </c>
      <c r="K12" s="1">
        <v>0</v>
      </c>
    </row>
    <row r="13" spans="1:12">
      <c r="A13" s="38">
        <f>'Исходные данные'!B12</f>
        <v>0</v>
      </c>
      <c r="B13" s="38">
        <f>'Исходные данные'!C12</f>
        <v>0</v>
      </c>
      <c r="C13" s="38">
        <f>'Исходные данные'!D12</f>
        <v>0</v>
      </c>
      <c r="D13" s="38">
        <f>'Исходные данные'!F12</f>
        <v>0</v>
      </c>
      <c r="E13" s="38">
        <f>'Исходные данные'!G12</f>
        <v>0</v>
      </c>
      <c r="F13" s="7" t="str">
        <f>IF('Исходные данные'!$K$1='Ножницы упор'!B13,(('Исходные данные'!F12+3)-('Пила УВК'!#REF!*'Пила УВК'!#REF!))/2+47,"---")</f>
        <v>---</v>
      </c>
      <c r="G13" s="7" t="str">
        <f>IF('Исходные данные'!K12=1,'Исходные данные'!G12-3,IF('Исходные данные'!K12=3,'Исходные данные'!G12-3,"---"))</f>
        <v>---</v>
      </c>
      <c r="H13" s="16">
        <f>IF('Исходные данные'!K12=1,'Исходные данные'!H12*2,IF('Исходные данные'!K12=3,'Исходные данные'!H12*2,0))</f>
        <v>0</v>
      </c>
      <c r="I13" s="1" t="str">
        <f>IF('Исходные данные'!J12=1,"ОЦ",IF('Исходные данные'!J12=2,"нерж",IF('Исходные данные'!J12=3,"латунь",IF('Исходные данные'!J12=4,"0,7 краш","---"))))</f>
        <v>---</v>
      </c>
      <c r="J13" s="1">
        <v>0</v>
      </c>
      <c r="K13" s="1">
        <v>0</v>
      </c>
    </row>
    <row r="14" spans="1:12">
      <c r="A14" s="38">
        <f>'Исходные данные'!B13</f>
        <v>0</v>
      </c>
      <c r="B14" s="38">
        <f>'Исходные данные'!C13</f>
        <v>0</v>
      </c>
      <c r="C14" s="38">
        <f>'Исходные данные'!D13</f>
        <v>0</v>
      </c>
      <c r="D14" s="38">
        <f>'Исходные данные'!F13</f>
        <v>0</v>
      </c>
      <c r="E14" s="38">
        <f>'Исходные данные'!G13</f>
        <v>0</v>
      </c>
      <c r="F14" s="7" t="str">
        <f>IF('Исходные данные'!$K$1='Ножницы упор'!B14,(('Исходные данные'!F13+3)-('Пила УВК'!#REF!*'Пила УВК'!#REF!))/2+47,"---")</f>
        <v>---</v>
      </c>
      <c r="G14" s="7" t="str">
        <f>IF('Исходные данные'!K13=1,'Исходные данные'!G13-3,IF('Исходные данные'!K13=3,'Исходные данные'!G13-3,"---"))</f>
        <v>---</v>
      </c>
      <c r="H14" s="16">
        <f>IF('Исходные данные'!K13=1,'Исходные данные'!H13*2,IF('Исходные данные'!K13=3,'Исходные данные'!H13*2,0))</f>
        <v>0</v>
      </c>
      <c r="I14" s="1" t="str">
        <f>IF('Исходные данные'!J13=1,"ОЦ",IF('Исходные данные'!J13=2,"нерж",IF('Исходные данные'!J13=3,"латунь",IF('Исходные данные'!J13=4,"0,7 краш","---"))))</f>
        <v>---</v>
      </c>
      <c r="J14" s="1"/>
      <c r="K14" s="1"/>
    </row>
    <row r="15" spans="1:12">
      <c r="A15" s="38">
        <f>'Исходные данные'!B14</f>
        <v>0</v>
      </c>
      <c r="B15" s="38">
        <f>'Исходные данные'!C14</f>
        <v>0</v>
      </c>
      <c r="C15" s="38">
        <f>'Исходные данные'!D14</f>
        <v>0</v>
      </c>
      <c r="D15" s="38">
        <f>'Исходные данные'!F14</f>
        <v>0</v>
      </c>
      <c r="E15" s="38">
        <f>'Исходные данные'!G14</f>
        <v>0</v>
      </c>
      <c r="F15" s="7" t="str">
        <f>IF('Исходные данные'!$K$1='Ножницы упор'!B15,(('Исходные данные'!F14+3)-('Пила УВК'!#REF!*'Пила УВК'!#REF!))/2+47,"---")</f>
        <v>---</v>
      </c>
      <c r="G15" s="7" t="str">
        <f>IF('Исходные данные'!K14=1,'Исходные данные'!G14-3,IF('Исходные данные'!K14=3,'Исходные данные'!G14-3,"---"))</f>
        <v>---</v>
      </c>
      <c r="H15" s="16">
        <f>IF('Исходные данные'!K14=1,'Исходные данные'!H14*2,IF('Исходные данные'!K14=3,'Исходные данные'!H14*2,0))</f>
        <v>0</v>
      </c>
      <c r="I15" s="1" t="str">
        <f>IF('Исходные данные'!J14=1,"ОЦ",IF('Исходные данные'!J14=2,"нерж",IF('Исходные данные'!J14=3,"латунь",IF('Исходные данные'!J14=4,"0,7 краш","---"))))</f>
        <v>---</v>
      </c>
      <c r="J15" s="1"/>
      <c r="K15" s="1"/>
      <c r="L15" s="21"/>
    </row>
    <row r="16" spans="1:12">
      <c r="A16" s="38">
        <f>'Исходные данные'!B15</f>
        <v>0</v>
      </c>
      <c r="B16" s="38">
        <f>'Исходные данные'!C15</f>
        <v>0</v>
      </c>
      <c r="C16" s="38">
        <f>'Исходные данные'!D15</f>
        <v>0</v>
      </c>
      <c r="D16" s="38">
        <f>'Исходные данные'!F15</f>
        <v>0</v>
      </c>
      <c r="E16" s="38">
        <f>'Исходные данные'!G15</f>
        <v>0</v>
      </c>
      <c r="F16" s="7" t="str">
        <f>IF('Исходные данные'!$K$1='Ножницы упор'!B16,(('Исходные данные'!F15+3)-('Пила УВК'!#REF!*'Пила УВК'!#REF!))/2+47,"---")</f>
        <v>---</v>
      </c>
      <c r="G16" s="7" t="str">
        <f>IF('Исходные данные'!K15=1,'Исходные данные'!G15-3,IF('Исходные данные'!K15=3,'Исходные данные'!G15-3,"---"))</f>
        <v>---</v>
      </c>
      <c r="H16" s="16">
        <f>IF('Исходные данные'!K15=1,'Исходные данные'!H15*2,IF('Исходные данные'!K15=3,'Исходные данные'!H15*2,0))</f>
        <v>0</v>
      </c>
      <c r="I16" s="1" t="str">
        <f>IF('Исходные данные'!J15=1,"ОЦ",IF('Исходные данные'!J15=2,"нерж",IF('Исходные данные'!J15=3,"латунь",IF('Исходные данные'!J15=4,"0,7 краш","---"))))</f>
        <v>---</v>
      </c>
      <c r="J16" s="1"/>
      <c r="K16" s="1"/>
    </row>
    <row r="17" spans="1:11">
      <c r="A17" s="38">
        <f>'Исходные данные'!B16</f>
        <v>0</v>
      </c>
      <c r="B17" s="38">
        <f>'Исходные данные'!C16</f>
        <v>0</v>
      </c>
      <c r="C17" s="38">
        <f>'Исходные данные'!D16</f>
        <v>0</v>
      </c>
      <c r="D17" s="38">
        <f>'Исходные данные'!F16</f>
        <v>0</v>
      </c>
      <c r="E17" s="38">
        <f>'Исходные данные'!G16</f>
        <v>0</v>
      </c>
      <c r="F17" s="7" t="str">
        <f>IF('Исходные данные'!$K$1='Ножницы упор'!B17,(('Исходные данные'!F16+3)-('Пила УВК'!#REF!*'Пила УВК'!#REF!))/2+47,"---")</f>
        <v>---</v>
      </c>
      <c r="G17" s="7" t="str">
        <f>IF('Исходные данные'!K16=1,'Исходные данные'!G16-3,IF('Исходные данные'!K16=3,'Исходные данные'!G16-3,"---"))</f>
        <v>---</v>
      </c>
      <c r="H17" s="16">
        <f>IF('Исходные данные'!K16=1,'Исходные данные'!H16*2,IF('Исходные данные'!K16=3,'Исходные данные'!H16*2,0))</f>
        <v>0</v>
      </c>
      <c r="I17" s="1" t="str">
        <f>IF('Исходные данные'!J16=1,"ОЦ",IF('Исходные данные'!J16=2,"нерж",IF('Исходные данные'!J16=3,"латунь",IF('Исходные данные'!J16=4,"0,7 краш","---"))))</f>
        <v>---</v>
      </c>
      <c r="J17" s="1"/>
      <c r="K17" s="1"/>
    </row>
    <row r="18" spans="1:11">
      <c r="A18" s="38">
        <f>'Исходные данные'!B17</f>
        <v>0</v>
      </c>
      <c r="B18" s="38">
        <f>'Исходные данные'!C17</f>
        <v>0</v>
      </c>
      <c r="C18" s="38">
        <f>'Исходные данные'!D17</f>
        <v>0</v>
      </c>
      <c r="D18" s="38">
        <f>'Исходные данные'!F17</f>
        <v>0</v>
      </c>
      <c r="E18" s="38">
        <f>'Исходные данные'!G17</f>
        <v>0</v>
      </c>
      <c r="F18" s="7" t="str">
        <f>IF('Исходные данные'!$K$1='Ножницы упор'!B18,(('Исходные данные'!F17+3)-('Пила УВК'!#REF!*'Пила УВК'!#REF!))/2+47,"---")</f>
        <v>---</v>
      </c>
      <c r="G18" s="7" t="str">
        <f>IF('Исходные данные'!K17=1,'Исходные данные'!G17-3,IF('Исходные данные'!K17=3,'Исходные данные'!G17-3,"---"))</f>
        <v>---</v>
      </c>
      <c r="H18" s="16">
        <f>IF('Исходные данные'!K17=1,'Исходные данные'!H17*2,IF('Исходные данные'!K17=3,'Исходные данные'!H17*2,0))</f>
        <v>0</v>
      </c>
      <c r="I18" s="1" t="str">
        <f>IF('Исходные данные'!J17=1,"ОЦ",IF('Исходные данные'!J17=2,"нерж",IF('Исходные данные'!J17=3,"латунь",IF('Исходные данные'!J17=4,"0,7 краш","---"))))</f>
        <v>---</v>
      </c>
      <c r="J18" s="1"/>
      <c r="K18" s="1"/>
    </row>
    <row r="19" spans="1:11">
      <c r="A19" s="38">
        <f>'Исходные данные'!B18</f>
        <v>0</v>
      </c>
      <c r="B19" s="38">
        <f>'Исходные данные'!C18</f>
        <v>0</v>
      </c>
      <c r="C19" s="38">
        <f>'Исходные данные'!D18</f>
        <v>0</v>
      </c>
      <c r="D19" s="38">
        <f>'Исходные данные'!F18</f>
        <v>0</v>
      </c>
      <c r="E19" s="38">
        <f>'Исходные данные'!G18</f>
        <v>0</v>
      </c>
      <c r="F19" s="7" t="str">
        <f>IF('Исходные данные'!$K$1='Ножницы упор'!B19,(('Исходные данные'!F18+3)-('Пила УВК'!#REF!*'Пила УВК'!#REF!))/2+47,"---")</f>
        <v>---</v>
      </c>
      <c r="G19" s="7" t="str">
        <f>IF('Исходные данные'!K18=1,'Исходные данные'!G18-3,IF('Исходные данные'!K18=3,'Исходные данные'!G18-3,"---"))</f>
        <v>---</v>
      </c>
      <c r="H19" s="16">
        <f>IF('Исходные данные'!K18=1,'Исходные данные'!H18*2,IF('Исходные данные'!K18=3,'Исходные данные'!H18*2,0))</f>
        <v>0</v>
      </c>
      <c r="I19" s="1" t="str">
        <f>IF('Исходные данные'!J18=1,"ОЦ",IF('Исходные данные'!J18=2,"нерж",IF('Исходные данные'!J18=3,"латунь",IF('Исходные данные'!J18=4,"0,7 краш","---"))))</f>
        <v>---</v>
      </c>
      <c r="J19" s="1"/>
      <c r="K19" s="1"/>
    </row>
    <row r="20" spans="1:11">
      <c r="A20" s="38">
        <f>'Исходные данные'!B19</f>
        <v>0</v>
      </c>
      <c r="B20" s="38">
        <f>'Исходные данные'!C19</f>
        <v>0</v>
      </c>
      <c r="C20" s="38">
        <f>'Исходные данные'!D19</f>
        <v>0</v>
      </c>
      <c r="D20" s="38">
        <f>'Исходные данные'!F19</f>
        <v>0</v>
      </c>
      <c r="E20" s="38">
        <f>'Исходные данные'!G19</f>
        <v>0</v>
      </c>
      <c r="F20" s="7" t="str">
        <f>IF('Исходные данные'!$K$1='Ножницы упор'!B20,(('Исходные данные'!F19+3)-('Пила УВК'!#REF!*'Пила УВК'!#REF!))/2+47,"---")</f>
        <v>---</v>
      </c>
      <c r="G20" s="7" t="str">
        <f>IF('Исходные данные'!K19=1,'Исходные данные'!G19-3,IF('Исходные данные'!K19=3,'Исходные данные'!G19-3,"---"))</f>
        <v>---</v>
      </c>
      <c r="H20" s="16">
        <f>IF('Исходные данные'!K19=1,'Исходные данные'!H19*2,IF('Исходные данные'!K19=3,'Исходные данные'!H19*2,0))</f>
        <v>0</v>
      </c>
      <c r="I20" s="1" t="str">
        <f>IF('Исходные данные'!J19=1,"ОЦ",IF('Исходные данные'!J19=2,"нерж",IF('Исходные данные'!J19=3,"латунь",IF('Исходные данные'!J19=4,"0,7 краш","---"))))</f>
        <v>---</v>
      </c>
      <c r="J20" s="1"/>
      <c r="K20" s="1"/>
    </row>
    <row r="21" spans="1:11">
      <c r="A21" s="38">
        <f>'Исходные данные'!B20</f>
        <v>0</v>
      </c>
      <c r="B21" s="38">
        <f>'Исходные данные'!C20</f>
        <v>0</v>
      </c>
      <c r="C21" s="38">
        <f>'Исходные данные'!D20</f>
        <v>0</v>
      </c>
      <c r="D21" s="38">
        <f>'Исходные данные'!F20</f>
        <v>0</v>
      </c>
      <c r="E21" s="38">
        <f>'Исходные данные'!G20</f>
        <v>0</v>
      </c>
      <c r="F21" s="7" t="str">
        <f>IF('Исходные данные'!$K$1='Ножницы упор'!B21,(('Исходные данные'!F20+3)-('Пила УВК'!#REF!*'Пила УВК'!#REF!))/2+47,"---")</f>
        <v>---</v>
      </c>
      <c r="G21" s="7" t="str">
        <f>IF('Исходные данные'!K20=1,'Исходные данные'!G20-3,IF('Исходные данные'!K20=3,'Исходные данные'!G20-3,"---"))</f>
        <v>---</v>
      </c>
      <c r="H21" s="16">
        <f>IF('Исходные данные'!K20=1,'Исходные данные'!H20*2,IF('Исходные данные'!K20=3,'Исходные данные'!H20*2,0))</f>
        <v>0</v>
      </c>
      <c r="I21" s="1" t="str">
        <f>IF('Исходные данные'!J20=1,"ОЦ",IF('Исходные данные'!J20=2,"нерж",IF('Исходные данные'!J20=3,"латунь",IF('Исходные данные'!J20=4,"0,7 краш","---"))))</f>
        <v>---</v>
      </c>
      <c r="J21" s="1"/>
      <c r="K21" s="1"/>
    </row>
    <row r="22" spans="1:11">
      <c r="A22" s="38">
        <f>'Исходные данные'!B21</f>
        <v>0</v>
      </c>
      <c r="B22" s="38">
        <f>'Исходные данные'!C21</f>
        <v>0</v>
      </c>
      <c r="C22" s="38">
        <f>'Исходные данные'!D21</f>
        <v>0</v>
      </c>
      <c r="D22" s="38">
        <f>'Исходные данные'!F21</f>
        <v>0</v>
      </c>
      <c r="E22" s="38">
        <f>'Исходные данные'!G21</f>
        <v>0</v>
      </c>
      <c r="F22" s="7" t="str">
        <f>IF('Исходные данные'!$K$1='Ножницы упор'!B22,(('Исходные данные'!F21+3)-('Пила УВК'!#REF!*'Пила УВК'!#REF!))/2+47,"---")</f>
        <v>---</v>
      </c>
      <c r="G22" s="7" t="str">
        <f>IF('Исходные данные'!K21=1,'Исходные данные'!G21-3,IF('Исходные данные'!K21=3,'Исходные данные'!G21-3,"---"))</f>
        <v>---</v>
      </c>
      <c r="H22" s="16">
        <f>IF('Исходные данные'!K21=1,'Исходные данные'!H21*2,IF('Исходные данные'!K21=3,'Исходные данные'!H21*2,0))</f>
        <v>0</v>
      </c>
      <c r="I22" s="1" t="str">
        <f>IF('Исходные данные'!J21=1,"ОЦ",IF('Исходные данные'!J21=2,"нерж",IF('Исходные данные'!J21=3,"латунь",IF('Исходные данные'!J21=4,"0,7 краш","---"))))</f>
        <v>---</v>
      </c>
      <c r="J22" s="1"/>
      <c r="K22" s="1"/>
    </row>
    <row r="23" spans="1:11">
      <c r="A23" s="38">
        <f>'Исходные данные'!B22</f>
        <v>0</v>
      </c>
      <c r="B23" s="38">
        <f>'Исходные данные'!C22</f>
        <v>0</v>
      </c>
      <c r="C23" s="38">
        <f>'Исходные данные'!D22</f>
        <v>0</v>
      </c>
      <c r="D23" s="38">
        <f>'Исходные данные'!F22</f>
        <v>0</v>
      </c>
      <c r="E23" s="38">
        <f>'Исходные данные'!G22</f>
        <v>0</v>
      </c>
      <c r="F23" s="7" t="str">
        <f>IF('Исходные данные'!$K$1='Ножницы упор'!B23,(('Исходные данные'!F22+3)-('Пила УВК'!#REF!*'Пила УВК'!#REF!))/2+47,"---")</f>
        <v>---</v>
      </c>
      <c r="G23" s="7" t="str">
        <f>IF('Исходные данные'!K22=1,'Исходные данные'!G22-3,IF('Исходные данные'!K22=3,'Исходные данные'!G22-3,"---"))</f>
        <v>---</v>
      </c>
      <c r="H23" s="16">
        <f>IF('Исходные данные'!K22=1,'Исходные данные'!H22*2,IF('Исходные данные'!K22=3,'Исходные данные'!H22*2,0))</f>
        <v>0</v>
      </c>
      <c r="I23" s="1" t="str">
        <f>IF('Исходные данные'!J22=1,"ОЦ",IF('Исходные данные'!J22=2,"нерж",IF('Исходные данные'!J22=3,"латунь",IF('Исходные данные'!J22=4,"0,7 краш","---"))))</f>
        <v>---</v>
      </c>
      <c r="J23" s="1"/>
      <c r="K23" s="1"/>
    </row>
    <row r="24" spans="1:11">
      <c r="A24" s="38">
        <f>'Исходные данные'!B23</f>
        <v>0</v>
      </c>
      <c r="B24" s="38">
        <f>'Исходные данные'!C23</f>
        <v>0</v>
      </c>
      <c r="C24" s="38">
        <f>'Исходные данные'!D23</f>
        <v>0</v>
      </c>
      <c r="D24" s="38">
        <f>'Исходные данные'!F23</f>
        <v>0</v>
      </c>
      <c r="E24" s="38">
        <f>'Исходные данные'!G23</f>
        <v>0</v>
      </c>
      <c r="F24" s="7" t="str">
        <f>IF('Исходные данные'!$K$1='Ножницы упор'!B24,(('Исходные данные'!F23+3)-('Пила УВК'!#REF!*'Пила УВК'!#REF!))/2+47,"---")</f>
        <v>---</v>
      </c>
      <c r="G24" s="7" t="str">
        <f>IF('Исходные данные'!K23=1,'Исходные данные'!G23-3,IF('Исходные данные'!K23=3,'Исходные данные'!G23-3,"---"))</f>
        <v>---</v>
      </c>
      <c r="H24" s="16">
        <f>IF('Исходные данные'!K23=1,'Исходные данные'!H23*2,IF('Исходные данные'!K23=3,'Исходные данные'!H23*2,0))</f>
        <v>0</v>
      </c>
      <c r="I24" s="1" t="str">
        <f>IF('Исходные данные'!J23=1,"ОЦ",IF('Исходные данные'!J23=2,"нерж",IF('Исходные данные'!J23=3,"латунь",IF('Исходные данные'!J23=4,"0,7 краш","---"))))</f>
        <v>---</v>
      </c>
      <c r="J24" s="1"/>
      <c r="K24" s="1"/>
    </row>
    <row r="25" spans="1:11">
      <c r="A25" s="38">
        <f>'Исходные данные'!B24</f>
        <v>0</v>
      </c>
      <c r="B25" s="38">
        <f>'Исходные данные'!C24</f>
        <v>0</v>
      </c>
      <c r="C25" s="38">
        <f>'Исходные данные'!D24</f>
        <v>0</v>
      </c>
      <c r="D25" s="38">
        <f>'Исходные данные'!F24</f>
        <v>0</v>
      </c>
      <c r="E25" s="38">
        <f>'Исходные данные'!G24</f>
        <v>0</v>
      </c>
      <c r="F25" s="7" t="str">
        <f>IF('Исходные данные'!$K$1='Ножницы упор'!B25,(('Исходные данные'!F24+3)-('Пила УВК'!#REF!*'Пила УВК'!#REF!))/2+47,"---")</f>
        <v>---</v>
      </c>
      <c r="G25" s="7" t="str">
        <f>IF('Исходные данные'!K24=1,'Исходные данные'!G24-3,IF('Исходные данные'!K24=3,'Исходные данные'!G24-3,"---"))</f>
        <v>---</v>
      </c>
      <c r="H25" s="16">
        <f>IF('Исходные данные'!K24=1,'Исходные данные'!H24*2,IF('Исходные данные'!K24=3,'Исходные данные'!H24*2,0))</f>
        <v>0</v>
      </c>
      <c r="I25" s="1" t="str">
        <f>IF('Исходные данные'!J24=1,"ОЦ",IF('Исходные данные'!J24=2,"нерж",IF('Исходные данные'!J24=3,"латунь",IF('Исходные данные'!J24=4,"0,7 краш","---"))))</f>
        <v>---</v>
      </c>
      <c r="J25" s="1"/>
      <c r="K25" s="1"/>
    </row>
    <row r="26" spans="1:11">
      <c r="A26" s="38">
        <f>'Исходные данные'!B25</f>
        <v>0</v>
      </c>
      <c r="B26" s="38">
        <f>'Исходные данные'!C25</f>
        <v>0</v>
      </c>
      <c r="C26" s="38">
        <f>'Исходные данные'!D25</f>
        <v>0</v>
      </c>
      <c r="D26" s="38">
        <f>'Исходные данные'!F25</f>
        <v>0</v>
      </c>
      <c r="E26" s="38">
        <f>'Исходные данные'!G25</f>
        <v>0</v>
      </c>
      <c r="F26" s="7" t="str">
        <f>IF('Исходные данные'!$K$1='Ножницы упор'!B26,(('Исходные данные'!F25+3)-('Пила УВК'!#REF!*'Пила УВК'!#REF!))/2+47,"---")</f>
        <v>---</v>
      </c>
      <c r="G26" s="7" t="str">
        <f>IF('Исходные данные'!K25=1,'Исходные данные'!G25-3,IF('Исходные данные'!K25=3,'Исходные данные'!G25-3,"---"))</f>
        <v>---</v>
      </c>
      <c r="H26" s="16">
        <f>IF('Исходные данные'!K25=1,'Исходные данные'!H25*2,IF('Исходные данные'!K25=3,'Исходные данные'!H25*2,0))</f>
        <v>0</v>
      </c>
      <c r="I26" s="1" t="str">
        <f>IF('Исходные данные'!J25=1,"ОЦ",IF('Исходные данные'!J25=2,"нерж",IF('Исходные данные'!J25=3,"латунь",IF('Исходные данные'!J25=4,"0,7 краш","---"))))</f>
        <v>---</v>
      </c>
      <c r="J26" s="1"/>
      <c r="K26" s="1"/>
    </row>
    <row r="27" spans="1:11">
      <c r="A27" s="38">
        <f>'Исходные данные'!B26</f>
        <v>0</v>
      </c>
      <c r="B27" s="38">
        <f>'Исходные данные'!C26</f>
        <v>0</v>
      </c>
      <c r="C27" s="38">
        <f>'Исходные данные'!D26</f>
        <v>0</v>
      </c>
      <c r="D27" s="38">
        <f>'Исходные данные'!F26</f>
        <v>0</v>
      </c>
      <c r="E27" s="38">
        <f>'Исходные данные'!G26</f>
        <v>0</v>
      </c>
      <c r="F27" s="7" t="str">
        <f>IF('Исходные данные'!$K$1='Ножницы упор'!B27,(('Исходные данные'!F26+3)-('Пила УВК'!#REF!*'Пила УВК'!#REF!))/2+47,"---")</f>
        <v>---</v>
      </c>
      <c r="G27" s="7" t="str">
        <f>IF('Исходные данные'!K26=1,'Исходные данные'!G26-3,IF('Исходные данные'!K26=3,'Исходные данные'!G26-3,"---"))</f>
        <v>---</v>
      </c>
      <c r="H27" s="16">
        <f>IF('Исходные данные'!K26=1,'Исходные данные'!H26*2,IF('Исходные данные'!K26=3,'Исходные данные'!H26*2,0))</f>
        <v>0</v>
      </c>
      <c r="I27" s="1" t="str">
        <f>IF('Исходные данные'!J26=1,"ОЦ",IF('Исходные данные'!J26=2,"нерж",IF('Исходные данные'!J26=3,"латунь",IF('Исходные данные'!J26=4,"0,7 краш","---"))))</f>
        <v>---</v>
      </c>
      <c r="J27" s="1"/>
      <c r="K27" s="1"/>
    </row>
    <row r="28" spans="1:11">
      <c r="F28" s="54"/>
      <c r="G28" s="54"/>
    </row>
    <row r="29" spans="1:11">
      <c r="B29" t="s">
        <v>49</v>
      </c>
      <c r="C29" s="79" t="s">
        <v>34</v>
      </c>
      <c r="D29" s="79"/>
      <c r="E29" s="79"/>
      <c r="F29" s="79"/>
      <c r="G29" s="79"/>
      <c r="H29">
        <f>SUM(J7:J27)</f>
        <v>5.6000000000000001E-2</v>
      </c>
    </row>
    <row r="31" spans="1:11">
      <c r="B31" t="s">
        <v>51</v>
      </c>
      <c r="C31" s="47"/>
      <c r="D31" s="47"/>
      <c r="E31" s="47"/>
      <c r="F31" s="47"/>
      <c r="G31" s="47"/>
      <c r="H31">
        <f>SUM(K7:K27)</f>
        <v>2.4E-2</v>
      </c>
    </row>
    <row r="32" spans="1:11" ht="18.75">
      <c r="B32" s="23" t="str">
        <f>'Пила УВК'!B33</f>
        <v>Срок</v>
      </c>
      <c r="C32" s="23"/>
      <c r="D32" s="23"/>
      <c r="E32" s="99"/>
      <c r="F32" s="99"/>
    </row>
    <row r="35" spans="1:10">
      <c r="B35" t="str">
        <f>'Пила УВК'!B35</f>
        <v>Мастер_______________________________</v>
      </c>
    </row>
    <row r="36" spans="1:10" ht="21">
      <c r="A36" s="44" t="s">
        <v>189</v>
      </c>
      <c r="B36" s="45"/>
      <c r="C36" s="45"/>
      <c r="D36" s="45"/>
      <c r="E36" s="45"/>
      <c r="F36" s="45"/>
      <c r="G36" s="45"/>
      <c r="H36" s="44" t="s">
        <v>31</v>
      </c>
      <c r="I36" s="44"/>
      <c r="J36" s="44"/>
    </row>
    <row r="37" spans="1:10" ht="18.75">
      <c r="A37" s="44"/>
      <c r="B37" s="46" t="s">
        <v>70</v>
      </c>
      <c r="C37" s="46"/>
      <c r="D37" s="46"/>
      <c r="E37" s="46"/>
      <c r="F37" s="46"/>
      <c r="G37" s="46">
        <f>'Исходные данные'!F4</f>
        <v>0</v>
      </c>
      <c r="H37" s="44"/>
      <c r="I37" s="44"/>
      <c r="J37" s="44"/>
    </row>
    <row r="38" spans="1:10">
      <c r="A38" s="44"/>
      <c r="B38" s="44"/>
      <c r="C38" s="44"/>
      <c r="D38" s="44"/>
      <c r="E38" s="44"/>
      <c r="F38" s="44"/>
      <c r="G38" s="44"/>
      <c r="H38" s="44"/>
      <c r="I38" s="44"/>
      <c r="J38" s="44"/>
    </row>
    <row r="39" spans="1:10">
      <c r="A39" s="44"/>
      <c r="B39" s="44" t="s">
        <v>71</v>
      </c>
      <c r="C39" s="44"/>
      <c r="D39" s="44"/>
      <c r="E39" s="44"/>
      <c r="F39" s="44"/>
      <c r="G39" s="44"/>
      <c r="H39" s="44"/>
      <c r="I39" s="44"/>
      <c r="J39" s="44"/>
    </row>
    <row r="40" spans="1:10">
      <c r="A40" s="44"/>
      <c r="B40" s="44"/>
      <c r="C40" s="44"/>
      <c r="D40" s="44"/>
      <c r="E40" s="44"/>
      <c r="F40" s="44"/>
      <c r="G40" s="44"/>
      <c r="H40" s="44"/>
      <c r="I40" s="44"/>
      <c r="J40" s="44"/>
    </row>
    <row r="41" spans="1:10">
      <c r="A41" s="44"/>
      <c r="B41" s="44" t="s">
        <v>66</v>
      </c>
      <c r="C41" s="44" t="s">
        <v>72</v>
      </c>
      <c r="D41" s="44"/>
      <c r="E41" s="44"/>
      <c r="F41" s="44"/>
      <c r="G41" s="44" t="s">
        <v>195</v>
      </c>
      <c r="H41" s="44"/>
      <c r="I41" s="44"/>
      <c r="J41" s="44"/>
    </row>
    <row r="42" spans="1:10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0">
      <c r="A43" s="44"/>
      <c r="B43" s="44" t="s">
        <v>73</v>
      </c>
      <c r="C43" s="44"/>
      <c r="D43" s="44"/>
      <c r="E43" s="44"/>
      <c r="F43" s="44"/>
      <c r="G43" s="44" t="s">
        <v>195</v>
      </c>
      <c r="H43" s="44"/>
      <c r="I43" s="44"/>
      <c r="J43" s="44"/>
    </row>
    <row r="44" spans="1:10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44"/>
      <c r="B45" s="44" t="s">
        <v>74</v>
      </c>
      <c r="C45" s="44"/>
      <c r="D45" s="44"/>
      <c r="E45" s="44"/>
      <c r="F45" s="44"/>
      <c r="G45" s="44" t="s">
        <v>195</v>
      </c>
      <c r="H45" s="44"/>
      <c r="I45" s="44"/>
      <c r="J45" s="44"/>
    </row>
    <row r="46" spans="1:10">
      <c r="A46" s="44"/>
      <c r="B46" s="44"/>
      <c r="C46" s="44"/>
      <c r="D46" s="44"/>
      <c r="E46" s="44"/>
      <c r="F46" s="44"/>
      <c r="G46" s="44"/>
      <c r="H46" s="44"/>
      <c r="I46" s="44"/>
      <c r="J46" s="44"/>
    </row>
  </sheetData>
  <mergeCells count="11">
    <mergeCell ref="J5:K5"/>
    <mergeCell ref="A2:I2"/>
    <mergeCell ref="A3:I3"/>
    <mergeCell ref="B5:C6"/>
    <mergeCell ref="E32:F32"/>
    <mergeCell ref="F5:H5"/>
    <mergeCell ref="A5:A6"/>
    <mergeCell ref="D5:E5"/>
    <mergeCell ref="A4:B4"/>
    <mergeCell ref="D4:E4"/>
    <mergeCell ref="C29:G29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2"/>
  <sheetViews>
    <sheetView topLeftCell="A79" workbookViewId="0">
      <selection activeCell="B103" sqref="B103"/>
    </sheetView>
  </sheetViews>
  <sheetFormatPr defaultRowHeight="15"/>
  <cols>
    <col min="1" max="1" width="15.5703125" customWidth="1"/>
  </cols>
  <sheetData>
    <row r="1" spans="1:5">
      <c r="A1" t="s">
        <v>75</v>
      </c>
      <c r="B1">
        <v>7.71</v>
      </c>
      <c r="E1" t="s">
        <v>186</v>
      </c>
    </row>
    <row r="2" spans="1:5">
      <c r="A2" t="s">
        <v>76</v>
      </c>
      <c r="B2">
        <v>8</v>
      </c>
      <c r="E2" t="s">
        <v>187</v>
      </c>
    </row>
    <row r="3" spans="1:5">
      <c r="A3" t="s">
        <v>77</v>
      </c>
      <c r="B3">
        <v>9.1</v>
      </c>
    </row>
    <row r="4" spans="1:5">
      <c r="A4" t="s">
        <v>78</v>
      </c>
      <c r="B4">
        <v>7.91</v>
      </c>
    </row>
    <row r="5" spans="1:5">
      <c r="A5" t="s">
        <v>79</v>
      </c>
      <c r="B5">
        <v>8.64</v>
      </c>
    </row>
    <row r="6" spans="1:5">
      <c r="A6" t="s">
        <v>80</v>
      </c>
      <c r="B6">
        <v>4.1100000000000003</v>
      </c>
    </row>
    <row r="7" spans="1:5">
      <c r="A7" t="s">
        <v>81</v>
      </c>
      <c r="B7">
        <v>4.08</v>
      </c>
    </row>
    <row r="8" spans="1:5">
      <c r="A8" t="s">
        <v>82</v>
      </c>
      <c r="B8">
        <v>4.1399999999999997</v>
      </c>
    </row>
    <row r="9" spans="1:5">
      <c r="A9" t="s">
        <v>83</v>
      </c>
      <c r="B9">
        <v>9.2200000000000006</v>
      </c>
    </row>
    <row r="10" spans="1:5">
      <c r="A10" t="s">
        <v>84</v>
      </c>
      <c r="B10">
        <v>8.39</v>
      </c>
    </row>
    <row r="11" spans="1:5">
      <c r="A11" t="s">
        <v>85</v>
      </c>
      <c r="B11">
        <v>8.9600000000000009</v>
      </c>
    </row>
    <row r="12" spans="1:5">
      <c r="A12" t="s">
        <v>86</v>
      </c>
      <c r="B12">
        <v>9.51</v>
      </c>
    </row>
    <row r="13" spans="1:5">
      <c r="A13" t="s">
        <v>87</v>
      </c>
      <c r="B13">
        <v>9.99</v>
      </c>
    </row>
    <row r="14" spans="1:5">
      <c r="A14" t="s">
        <v>88</v>
      </c>
      <c r="B14">
        <v>8.18</v>
      </c>
    </row>
    <row r="15" spans="1:5">
      <c r="A15" t="s">
        <v>89</v>
      </c>
      <c r="B15">
        <v>8.8800000000000008</v>
      </c>
    </row>
    <row r="16" spans="1:5">
      <c r="A16" t="s">
        <v>90</v>
      </c>
      <c r="B16">
        <v>10.050000000000001</v>
      </c>
    </row>
    <row r="17" spans="1:2">
      <c r="A17" t="s">
        <v>91</v>
      </c>
      <c r="B17">
        <v>2.35</v>
      </c>
    </row>
    <row r="18" spans="1:2">
      <c r="A18" t="s">
        <v>92</v>
      </c>
      <c r="B18">
        <v>8.7799999999999994</v>
      </c>
    </row>
    <row r="19" spans="1:2">
      <c r="A19" t="s">
        <v>93</v>
      </c>
      <c r="B19">
        <v>3.89</v>
      </c>
    </row>
    <row r="20" spans="1:2">
      <c r="A20" t="s">
        <v>94</v>
      </c>
      <c r="B20">
        <v>4.2</v>
      </c>
    </row>
    <row r="21" spans="1:2">
      <c r="A21" t="s">
        <v>95</v>
      </c>
      <c r="B21">
        <v>4.17</v>
      </c>
    </row>
    <row r="22" spans="1:2">
      <c r="A22" t="s">
        <v>96</v>
      </c>
      <c r="B22">
        <v>4.49</v>
      </c>
    </row>
    <row r="23" spans="1:2">
      <c r="A23" t="s">
        <v>97</v>
      </c>
      <c r="B23">
        <v>4.16</v>
      </c>
    </row>
    <row r="24" spans="1:2">
      <c r="A24" t="s">
        <v>98</v>
      </c>
      <c r="B24">
        <v>4.43</v>
      </c>
    </row>
    <row r="25" spans="1:2">
      <c r="A25" t="s">
        <v>99</v>
      </c>
      <c r="B25">
        <v>4.54</v>
      </c>
    </row>
    <row r="26" spans="1:2">
      <c r="A26" t="s">
        <v>100</v>
      </c>
      <c r="B26">
        <v>4.47</v>
      </c>
    </row>
    <row r="27" spans="1:2">
      <c r="A27" t="s">
        <v>101</v>
      </c>
      <c r="B27">
        <v>4.6100000000000003</v>
      </c>
    </row>
    <row r="28" spans="1:2">
      <c r="A28" t="s">
        <v>102</v>
      </c>
      <c r="B28">
        <v>4.92</v>
      </c>
    </row>
    <row r="29" spans="1:2">
      <c r="A29" t="s">
        <v>103</v>
      </c>
      <c r="B29">
        <v>4.8499999999999996</v>
      </c>
    </row>
    <row r="30" spans="1:2">
      <c r="A30" t="s">
        <v>104</v>
      </c>
      <c r="B30">
        <v>4.8</v>
      </c>
    </row>
    <row r="31" spans="1:2">
      <c r="A31" t="s">
        <v>105</v>
      </c>
      <c r="B31">
        <v>4.34</v>
      </c>
    </row>
    <row r="32" spans="1:2">
      <c r="A32" t="s">
        <v>106</v>
      </c>
      <c r="B32">
        <v>4.4400000000000004</v>
      </c>
    </row>
    <row r="33" spans="1:2">
      <c r="A33" t="s">
        <v>107</v>
      </c>
      <c r="B33">
        <v>4.07</v>
      </c>
    </row>
    <row r="34" spans="1:2">
      <c r="A34" t="s">
        <v>108</v>
      </c>
      <c r="B34">
        <v>4.17</v>
      </c>
    </row>
    <row r="35" spans="1:2">
      <c r="A35" t="s">
        <v>109</v>
      </c>
      <c r="B35">
        <v>4.3499999999999996</v>
      </c>
    </row>
    <row r="36" spans="1:2">
      <c r="A36" t="s">
        <v>110</v>
      </c>
      <c r="B36">
        <v>4.42</v>
      </c>
    </row>
    <row r="37" spans="1:2">
      <c r="A37" t="s">
        <v>111</v>
      </c>
      <c r="B37">
        <v>4.88</v>
      </c>
    </row>
    <row r="38" spans="1:2">
      <c r="A38" t="s">
        <v>112</v>
      </c>
      <c r="B38">
        <v>4.67</v>
      </c>
    </row>
    <row r="39" spans="1:2">
      <c r="A39" t="s">
        <v>113</v>
      </c>
      <c r="B39">
        <v>4.32</v>
      </c>
    </row>
    <row r="40" spans="1:2">
      <c r="A40" t="s">
        <v>114</v>
      </c>
      <c r="B40">
        <v>4.62</v>
      </c>
    </row>
    <row r="41" spans="1:2">
      <c r="A41" t="s">
        <v>115</v>
      </c>
      <c r="B41">
        <v>4.1500000000000004</v>
      </c>
    </row>
    <row r="42" spans="1:2">
      <c r="A42" t="s">
        <v>116</v>
      </c>
      <c r="B42">
        <v>4.79</v>
      </c>
    </row>
    <row r="43" spans="1:2">
      <c r="A43" t="s">
        <v>117</v>
      </c>
      <c r="B43">
        <v>4.63</v>
      </c>
    </row>
    <row r="44" spans="1:2">
      <c r="A44" t="s">
        <v>118</v>
      </c>
      <c r="B44">
        <v>4.57</v>
      </c>
    </row>
    <row r="45" spans="1:2">
      <c r="A45" t="s">
        <v>119</v>
      </c>
      <c r="B45">
        <v>4.74</v>
      </c>
    </row>
    <row r="46" spans="1:2">
      <c r="A46" t="s">
        <v>120</v>
      </c>
      <c r="B46">
        <v>5.16</v>
      </c>
    </row>
    <row r="47" spans="1:2">
      <c r="A47" t="s">
        <v>121</v>
      </c>
      <c r="B47">
        <v>4.88</v>
      </c>
    </row>
    <row r="48" spans="1:2">
      <c r="A48" t="s">
        <v>122</v>
      </c>
      <c r="B48">
        <v>6.8</v>
      </c>
    </row>
    <row r="49" spans="1:2">
      <c r="A49" t="s">
        <v>123</v>
      </c>
      <c r="B49">
        <v>4.59</v>
      </c>
    </row>
    <row r="50" spans="1:2">
      <c r="A50" t="s">
        <v>124</v>
      </c>
      <c r="B50">
        <v>5.71</v>
      </c>
    </row>
    <row r="51" spans="1:2">
      <c r="A51" t="s">
        <v>125</v>
      </c>
      <c r="B51">
        <v>5.7</v>
      </c>
    </row>
    <row r="52" spans="1:2">
      <c r="A52" t="s">
        <v>126</v>
      </c>
      <c r="B52">
        <v>6.26</v>
      </c>
    </row>
    <row r="53" spans="1:2">
      <c r="A53" t="s">
        <v>127</v>
      </c>
      <c r="B53">
        <v>6.26</v>
      </c>
    </row>
    <row r="54" spans="1:2">
      <c r="A54" t="s">
        <v>128</v>
      </c>
      <c r="B54">
        <v>6.16</v>
      </c>
    </row>
    <row r="55" spans="1:2">
      <c r="A55" t="s">
        <v>129</v>
      </c>
      <c r="B55">
        <v>5.34</v>
      </c>
    </row>
    <row r="56" spans="1:2">
      <c r="A56" t="s">
        <v>130</v>
      </c>
      <c r="B56">
        <v>4.9800000000000004</v>
      </c>
    </row>
    <row r="57" spans="1:2">
      <c r="A57" t="s">
        <v>131</v>
      </c>
      <c r="B57">
        <v>5.33</v>
      </c>
    </row>
    <row r="58" spans="1:2">
      <c r="A58" t="s">
        <v>132</v>
      </c>
      <c r="B58">
        <v>5.27</v>
      </c>
    </row>
    <row r="59" spans="1:2">
      <c r="A59" t="s">
        <v>133</v>
      </c>
      <c r="B59">
        <v>5.62</v>
      </c>
    </row>
    <row r="60" spans="1:2">
      <c r="A60" t="s">
        <v>134</v>
      </c>
      <c r="B60">
        <v>5.08</v>
      </c>
    </row>
    <row r="61" spans="1:2">
      <c r="A61" t="s">
        <v>135</v>
      </c>
      <c r="B61">
        <v>5.76</v>
      </c>
    </row>
    <row r="62" spans="1:2">
      <c r="A62" t="s">
        <v>136</v>
      </c>
      <c r="B62">
        <v>5.19</v>
      </c>
    </row>
    <row r="63" spans="1:2">
      <c r="A63" t="s">
        <v>137</v>
      </c>
      <c r="B63">
        <v>5.0199999999999996</v>
      </c>
    </row>
    <row r="64" spans="1:2">
      <c r="A64" t="s">
        <v>138</v>
      </c>
      <c r="B64">
        <v>5.69</v>
      </c>
    </row>
    <row r="65" spans="1:2">
      <c r="A65" t="s">
        <v>139</v>
      </c>
      <c r="B65">
        <v>6.5</v>
      </c>
    </row>
    <row r="66" spans="1:2">
      <c r="A66" t="s">
        <v>140</v>
      </c>
      <c r="B66">
        <v>5.71</v>
      </c>
    </row>
    <row r="67" spans="1:2">
      <c r="A67" t="s">
        <v>141</v>
      </c>
      <c r="B67">
        <v>6.93</v>
      </c>
    </row>
    <row r="68" spans="1:2">
      <c r="A68" t="s">
        <v>142</v>
      </c>
      <c r="B68">
        <v>6.19</v>
      </c>
    </row>
    <row r="69" spans="1:2">
      <c r="A69" t="s">
        <v>143</v>
      </c>
      <c r="B69">
        <v>6.88</v>
      </c>
    </row>
    <row r="70" spans="1:2">
      <c r="A70" t="s">
        <v>144</v>
      </c>
      <c r="B70">
        <v>7.15</v>
      </c>
    </row>
    <row r="71" spans="1:2">
      <c r="A71" t="s">
        <v>145</v>
      </c>
      <c r="B71">
        <v>5.53</v>
      </c>
    </row>
    <row r="72" spans="1:2">
      <c r="A72" t="s">
        <v>146</v>
      </c>
      <c r="B72">
        <v>5.83</v>
      </c>
    </row>
    <row r="73" spans="1:2">
      <c r="A73" t="s">
        <v>147</v>
      </c>
      <c r="B73">
        <v>6.07</v>
      </c>
    </row>
    <row r="74" spans="1:2">
      <c r="A74" t="s">
        <v>148</v>
      </c>
      <c r="B74">
        <v>6.1</v>
      </c>
    </row>
    <row r="75" spans="1:2">
      <c r="A75" t="s">
        <v>149</v>
      </c>
      <c r="B75">
        <v>6.74</v>
      </c>
    </row>
    <row r="76" spans="1:2">
      <c r="A76" t="s">
        <v>150</v>
      </c>
      <c r="B76">
        <v>7.7</v>
      </c>
    </row>
    <row r="77" spans="1:2">
      <c r="A77" t="s">
        <v>151</v>
      </c>
      <c r="B77">
        <v>7</v>
      </c>
    </row>
    <row r="78" spans="1:2">
      <c r="A78" t="s">
        <v>152</v>
      </c>
      <c r="B78">
        <v>5.97</v>
      </c>
    </row>
    <row r="79" spans="1:2">
      <c r="A79" t="s">
        <v>153</v>
      </c>
      <c r="B79">
        <v>6.94</v>
      </c>
    </row>
    <row r="80" spans="1:2">
      <c r="A80" t="s">
        <v>154</v>
      </c>
      <c r="B80">
        <v>5.4</v>
      </c>
    </row>
    <row r="81" spans="1:2">
      <c r="A81" t="s">
        <v>155</v>
      </c>
      <c r="B81">
        <v>5.64</v>
      </c>
    </row>
    <row r="82" spans="1:2">
      <c r="A82" t="s">
        <v>156</v>
      </c>
      <c r="B82">
        <v>5.85</v>
      </c>
    </row>
    <row r="83" spans="1:2">
      <c r="A83" t="s">
        <v>157</v>
      </c>
      <c r="B83">
        <v>7.3</v>
      </c>
    </row>
    <row r="84" spans="1:2">
      <c r="A84" t="s">
        <v>158</v>
      </c>
      <c r="B84">
        <v>5.98</v>
      </c>
    </row>
    <row r="85" spans="1:2">
      <c r="A85" t="s">
        <v>159</v>
      </c>
      <c r="B85">
        <v>5.43</v>
      </c>
    </row>
    <row r="86" spans="1:2">
      <c r="A86" t="s">
        <v>160</v>
      </c>
      <c r="B86">
        <v>6.53</v>
      </c>
    </row>
    <row r="87" spans="1:2">
      <c r="A87" t="s">
        <v>161</v>
      </c>
      <c r="B87">
        <v>6.87</v>
      </c>
    </row>
    <row r="88" spans="1:2">
      <c r="A88" t="s">
        <v>162</v>
      </c>
      <c r="B88">
        <v>7.49</v>
      </c>
    </row>
    <row r="89" spans="1:2">
      <c r="A89" t="s">
        <v>163</v>
      </c>
      <c r="B89">
        <v>7.15</v>
      </c>
    </row>
    <row r="90" spans="1:2">
      <c r="A90" t="s">
        <v>164</v>
      </c>
      <c r="B90">
        <v>6.25</v>
      </c>
    </row>
    <row r="91" spans="1:2">
      <c r="A91" t="s">
        <v>165</v>
      </c>
      <c r="B91">
        <v>7.11</v>
      </c>
    </row>
    <row r="92" spans="1:2">
      <c r="A92" t="s">
        <v>75</v>
      </c>
      <c r="B92">
        <v>7.68</v>
      </c>
    </row>
    <row r="93" spans="1:2">
      <c r="A93" t="s">
        <v>166</v>
      </c>
      <c r="B93">
        <v>6.35</v>
      </c>
    </row>
    <row r="94" spans="1:2">
      <c r="A94" t="s">
        <v>167</v>
      </c>
      <c r="B94">
        <v>7.82</v>
      </c>
    </row>
    <row r="95" spans="1:2">
      <c r="A95" t="s">
        <v>168</v>
      </c>
      <c r="B95">
        <v>6.31</v>
      </c>
    </row>
    <row r="96" spans="1:2">
      <c r="A96" t="s">
        <v>169</v>
      </c>
      <c r="B96">
        <v>7.31</v>
      </c>
    </row>
    <row r="97" spans="1:2">
      <c r="A97" t="s">
        <v>170</v>
      </c>
      <c r="B97">
        <v>7.72</v>
      </c>
    </row>
    <row r="98" spans="1:2">
      <c r="A98" t="s">
        <v>171</v>
      </c>
      <c r="B98">
        <v>8.32</v>
      </c>
    </row>
    <row r="99" spans="1:2">
      <c r="A99" t="s">
        <v>172</v>
      </c>
      <c r="B99">
        <v>8.35</v>
      </c>
    </row>
    <row r="100" spans="1:2">
      <c r="A100" t="s">
        <v>173</v>
      </c>
      <c r="B100">
        <v>6.91</v>
      </c>
    </row>
    <row r="101" spans="1:2">
      <c r="A101" t="s">
        <v>174</v>
      </c>
      <c r="B101">
        <v>7.02</v>
      </c>
    </row>
    <row r="102" spans="1:2">
      <c r="A102" t="s">
        <v>175</v>
      </c>
      <c r="B102">
        <v>6.2</v>
      </c>
    </row>
    <row r="103" spans="1:2">
      <c r="A103" t="s">
        <v>176</v>
      </c>
      <c r="B103">
        <v>7.58</v>
      </c>
    </row>
    <row r="104" spans="1:2">
      <c r="A104" t="s">
        <v>177</v>
      </c>
      <c r="B104">
        <v>7.53</v>
      </c>
    </row>
    <row r="105" spans="1:2">
      <c r="A105" t="s">
        <v>178</v>
      </c>
      <c r="B105">
        <v>7.66</v>
      </c>
    </row>
    <row r="106" spans="1:2">
      <c r="A106" t="s">
        <v>179</v>
      </c>
      <c r="B106">
        <v>7.75</v>
      </c>
    </row>
    <row r="107" spans="1:2">
      <c r="A107" t="s">
        <v>180</v>
      </c>
      <c r="B107">
        <v>8.15</v>
      </c>
    </row>
    <row r="108" spans="1:2">
      <c r="A108" t="s">
        <v>181</v>
      </c>
      <c r="B108">
        <v>6.82</v>
      </c>
    </row>
    <row r="109" spans="1:2">
      <c r="A109" t="s">
        <v>182</v>
      </c>
      <c r="B109">
        <v>6.2</v>
      </c>
    </row>
    <row r="110" spans="1:2">
      <c r="A110" t="s">
        <v>183</v>
      </c>
      <c r="B110">
        <v>5.14</v>
      </c>
    </row>
    <row r="111" spans="1:2">
      <c r="A111" t="s">
        <v>184</v>
      </c>
      <c r="B111">
        <v>4.9000000000000004</v>
      </c>
    </row>
    <row r="112" spans="1:2">
      <c r="A112" t="s">
        <v>185</v>
      </c>
      <c r="B112">
        <v>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Исходные данные</vt:lpstr>
      <vt:lpstr>Пила УВК</vt:lpstr>
      <vt:lpstr>Ножницы кожух</vt:lpstr>
      <vt:lpstr>Ножницы лента</vt:lpstr>
      <vt:lpstr>Ножницы упор</vt:lpstr>
      <vt:lpstr>reg_table</vt:lpstr>
      <vt:lpstr>'Ножницы кожух'!Область_печати</vt:lpstr>
      <vt:lpstr>'Ножницы лента'!Область_печати</vt:lpstr>
      <vt:lpstr>'Ножницы упор'!Область_печати</vt:lpstr>
      <vt:lpstr>'Пила УВК'!Область_печати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</dc:creator>
  <cp:lastModifiedBy>kondratenkosa</cp:lastModifiedBy>
  <cp:lastPrinted>2013-06-17T05:11:06Z</cp:lastPrinted>
  <dcterms:created xsi:type="dcterms:W3CDTF">2010-10-26T08:21:11Z</dcterms:created>
  <dcterms:modified xsi:type="dcterms:W3CDTF">2014-03-12T01:35:17Z</dcterms:modified>
</cp:coreProperties>
</file>