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-360" windowWidth="18870" windowHeight="9915" tabRatio="782"/>
  </bookViews>
  <sheets>
    <sheet name="Исходные данные" sheetId="1" r:id="rId1"/>
    <sheet name="корпус" sheetId="2" state="hidden" r:id="rId2"/>
    <sheet name="МРП" sheetId="10" state="hidden" r:id="rId3"/>
    <sheet name="Сетка" sheetId="8" state="hidden" r:id="rId4"/>
    <sheet name="Ножницы" sheetId="3" state="hidden" r:id="rId5"/>
    <sheet name="Ножницы (3)" sheetId="5" state="hidden" r:id="rId6"/>
    <sheet name="Ножницы (4)" sheetId="7" state="hidden" r:id="rId7"/>
    <sheet name="Ножницы (2)" sheetId="4" state="hidden" r:id="rId8"/>
    <sheet name="р 25" sheetId="9" r:id="rId9"/>
    <sheet name="Трудоемк" sheetId="11" state="hidden" r:id="rId10"/>
    <sheet name="Задание на ТРУМПФ" sheetId="13" r:id="rId11"/>
    <sheet name="Задание на гибку" sheetId="12" r:id="rId12"/>
    <sheet name="Ось" sheetId="16" r:id="rId13"/>
    <sheet name="Комплектовочный лист" sheetId="15" r:id="rId14"/>
    <sheet name="нормы" sheetId="14" r:id="rId15"/>
  </sheets>
  <externalReferences>
    <externalReference r:id="rId16"/>
  </externalReferences>
  <definedNames>
    <definedName name="_xlnm.Print_Area" localSheetId="11">'Задание на гибку'!$A$1:$AR$46</definedName>
    <definedName name="_xlnm.Print_Area" localSheetId="10">'Задание на ТРУМПФ'!$A$1:$AO$47</definedName>
    <definedName name="_xlnm.Print_Area" localSheetId="0">'Исходные данные'!$A$1:$S$31</definedName>
    <definedName name="_xlnm.Print_Area" localSheetId="13">'Комплектовочный лист'!$A$1:$AN$42</definedName>
    <definedName name="_xlnm.Print_Area" localSheetId="1">корпус!$A$11:$M$47</definedName>
    <definedName name="_xlnm.Print_Area" localSheetId="4">Ножницы!$A$4:$L$46</definedName>
    <definedName name="_xlnm.Print_Area" localSheetId="7">'Ножницы (2)'!$A$4:$I$45</definedName>
    <definedName name="_xlnm.Print_Area" localSheetId="5">'Ножницы (3)'!$A$3:$H$44</definedName>
    <definedName name="_xlnm.Print_Area" localSheetId="6">'Ножницы (4)'!$A$1:$M$44</definedName>
    <definedName name="_xlnm.Print_Area" localSheetId="12">Ось!$A$1:$AE$76</definedName>
    <definedName name="_xlnm.Print_Area" localSheetId="8">'р 25'!$B$1:$N$40</definedName>
    <definedName name="_xlnm.Print_Area" localSheetId="3">Сетка!$A$10:$J$45</definedName>
  </definedNames>
  <calcPr calcId="124519" refMode="R1C1"/>
</workbook>
</file>

<file path=xl/calcChain.xml><?xml version="1.0" encoding="utf-8"?>
<calcChain xmlns="http://schemas.openxmlformats.org/spreadsheetml/2006/main">
  <c r="R13" i="16"/>
  <c r="R14"/>
  <c r="R15"/>
  <c r="R16"/>
  <c r="R17"/>
  <c r="R18"/>
  <c r="R19"/>
  <c r="R20"/>
  <c r="R21"/>
  <c r="R22"/>
  <c r="R23"/>
  <c r="R24"/>
  <c r="R25"/>
  <c r="R26"/>
  <c r="F8" i="12"/>
  <c r="G8"/>
  <c r="I8"/>
  <c r="J8"/>
  <c r="K8"/>
  <c r="L8"/>
  <c r="S8"/>
  <c r="T8"/>
  <c r="W8" s="1"/>
  <c r="Z8" s="1"/>
  <c r="AB8" s="1"/>
  <c r="AF8" s="1"/>
  <c r="AH8" s="1"/>
  <c r="X8"/>
  <c r="AC8"/>
  <c r="AE8"/>
  <c r="AI8"/>
  <c r="AJ8"/>
  <c r="AM8"/>
  <c r="F9"/>
  <c r="G9"/>
  <c r="I9"/>
  <c r="J9"/>
  <c r="K9"/>
  <c r="L9"/>
  <c r="S9"/>
  <c r="T9"/>
  <c r="W9" s="1"/>
  <c r="Z9" s="1"/>
  <c r="AB9" s="1"/>
  <c r="AF9" s="1"/>
  <c r="AH9" s="1"/>
  <c r="X9"/>
  <c r="AC9"/>
  <c r="AE9"/>
  <c r="AI9"/>
  <c r="AJ9"/>
  <c r="AM9"/>
  <c r="F10"/>
  <c r="G10"/>
  <c r="I10"/>
  <c r="J10"/>
  <c r="K10"/>
  <c r="L10"/>
  <c r="S10"/>
  <c r="T10"/>
  <c r="W10" s="1"/>
  <c r="Z10" s="1"/>
  <c r="AB10" s="1"/>
  <c r="AF10" s="1"/>
  <c r="AH10" s="1"/>
  <c r="X10"/>
  <c r="AC10"/>
  <c r="AE10"/>
  <c r="AI10"/>
  <c r="AJ10"/>
  <c r="F11"/>
  <c r="G11"/>
  <c r="I11"/>
  <c r="J11"/>
  <c r="K11"/>
  <c r="L11"/>
  <c r="S11"/>
  <c r="T11"/>
  <c r="W11" s="1"/>
  <c r="Z11" s="1"/>
  <c r="AB11" s="1"/>
  <c r="AF11" s="1"/>
  <c r="AH11" s="1"/>
  <c r="X11"/>
  <c r="AC11"/>
  <c r="AE11"/>
  <c r="AI11"/>
  <c r="AJ11"/>
  <c r="F12"/>
  <c r="G12"/>
  <c r="I12"/>
  <c r="J12"/>
  <c r="K12"/>
  <c r="L12"/>
  <c r="S12"/>
  <c r="T12"/>
  <c r="W12" s="1"/>
  <c r="Z12" s="1"/>
  <c r="AB12" s="1"/>
  <c r="AF12" s="1"/>
  <c r="AH12" s="1"/>
  <c r="X12"/>
  <c r="AC12"/>
  <c r="AE12"/>
  <c r="AI12"/>
  <c r="AJ12"/>
  <c r="F13"/>
  <c r="G13"/>
  <c r="I13"/>
  <c r="J13"/>
  <c r="K13"/>
  <c r="L13"/>
  <c r="S13"/>
  <c r="T13"/>
  <c r="W13" s="1"/>
  <c r="Z13" s="1"/>
  <c r="AB13" s="1"/>
  <c r="AF13" s="1"/>
  <c r="AH13" s="1"/>
  <c r="X13"/>
  <c r="AC13"/>
  <c r="AE13"/>
  <c r="AI13"/>
  <c r="AJ13"/>
  <c r="F14"/>
  <c r="G14"/>
  <c r="I14"/>
  <c r="J14"/>
  <c r="K14"/>
  <c r="L14"/>
  <c r="S14"/>
  <c r="T14"/>
  <c r="W14" s="1"/>
  <c r="Z14" s="1"/>
  <c r="AB14" s="1"/>
  <c r="AF14" s="1"/>
  <c r="AH14" s="1"/>
  <c r="X14"/>
  <c r="AC14"/>
  <c r="AE14"/>
  <c r="AI14"/>
  <c r="AJ14"/>
  <c r="F15"/>
  <c r="G15"/>
  <c r="I15"/>
  <c r="J15"/>
  <c r="K15"/>
  <c r="L15"/>
  <c r="S15"/>
  <c r="T15"/>
  <c r="W15" s="1"/>
  <c r="Z15" s="1"/>
  <c r="AB15" s="1"/>
  <c r="AF15" s="1"/>
  <c r="AH15" s="1"/>
  <c r="X15"/>
  <c r="AC15"/>
  <c r="AE15"/>
  <c r="AI15"/>
  <c r="AJ15"/>
  <c r="F16"/>
  <c r="G16"/>
  <c r="I16"/>
  <c r="J16"/>
  <c r="K16"/>
  <c r="L16"/>
  <c r="S16"/>
  <c r="T16"/>
  <c r="W16" s="1"/>
  <c r="Z16" s="1"/>
  <c r="AB16" s="1"/>
  <c r="AF16" s="1"/>
  <c r="AH16" s="1"/>
  <c r="X16"/>
  <c r="AC16"/>
  <c r="AE16"/>
  <c r="AI16"/>
  <c r="AJ16"/>
  <c r="F17"/>
  <c r="G17"/>
  <c r="I17"/>
  <c r="J17"/>
  <c r="K17"/>
  <c r="L17"/>
  <c r="S17"/>
  <c r="T17"/>
  <c r="W17" s="1"/>
  <c r="Z17" s="1"/>
  <c r="AB17" s="1"/>
  <c r="AF17" s="1"/>
  <c r="AH17" s="1"/>
  <c r="X17"/>
  <c r="AC17"/>
  <c r="AE17"/>
  <c r="AI17"/>
  <c r="AJ17"/>
  <c r="F18"/>
  <c r="G18"/>
  <c r="I18"/>
  <c r="J18"/>
  <c r="K18"/>
  <c r="L18"/>
  <c r="S18"/>
  <c r="T18"/>
  <c r="W18" s="1"/>
  <c r="Z18" s="1"/>
  <c r="AB18" s="1"/>
  <c r="AF18" s="1"/>
  <c r="AH18" s="1"/>
  <c r="X18"/>
  <c r="AC18"/>
  <c r="AE18"/>
  <c r="AI18"/>
  <c r="AJ18"/>
  <c r="F19"/>
  <c r="G19"/>
  <c r="I19"/>
  <c r="J19"/>
  <c r="K19"/>
  <c r="L19"/>
  <c r="S19"/>
  <c r="T19"/>
  <c r="W19" s="1"/>
  <c r="Z19" s="1"/>
  <c r="AB19" s="1"/>
  <c r="AF19" s="1"/>
  <c r="AH19" s="1"/>
  <c r="X19"/>
  <c r="AC19"/>
  <c r="AE19"/>
  <c r="AI19"/>
  <c r="AJ19"/>
  <c r="F20"/>
  <c r="G20"/>
  <c r="I20"/>
  <c r="J20"/>
  <c r="K20"/>
  <c r="L20"/>
  <c r="S20"/>
  <c r="T20"/>
  <c r="W20" s="1"/>
  <c r="Z20" s="1"/>
  <c r="AB20" s="1"/>
  <c r="AF20" s="1"/>
  <c r="AH20" s="1"/>
  <c r="X20"/>
  <c r="AC20"/>
  <c r="AE20"/>
  <c r="AI20"/>
  <c r="AJ20"/>
  <c r="F21"/>
  <c r="G21"/>
  <c r="I21"/>
  <c r="J21"/>
  <c r="K21"/>
  <c r="L21"/>
  <c r="S21"/>
  <c r="T21"/>
  <c r="W21" s="1"/>
  <c r="Z21" s="1"/>
  <c r="AB21" s="1"/>
  <c r="AF21" s="1"/>
  <c r="AH21" s="1"/>
  <c r="X21"/>
  <c r="AC21"/>
  <c r="AE21"/>
  <c r="AI21"/>
  <c r="AJ21"/>
  <c r="C8" i="15"/>
  <c r="D8"/>
  <c r="F8"/>
  <c r="G8"/>
  <c r="H8"/>
  <c r="I8"/>
  <c r="L8"/>
  <c r="M8"/>
  <c r="N8"/>
  <c r="O8"/>
  <c r="P8"/>
  <c r="Q8"/>
  <c r="R8"/>
  <c r="S8"/>
  <c r="T8"/>
  <c r="U8"/>
  <c r="V8"/>
  <c r="W8"/>
  <c r="X8"/>
  <c r="Y8"/>
  <c r="Z8"/>
  <c r="AA8"/>
  <c r="AB8"/>
  <c r="AC8"/>
  <c r="AF8"/>
  <c r="C9"/>
  <c r="D9"/>
  <c r="F9"/>
  <c r="G9"/>
  <c r="H9"/>
  <c r="M9" s="1"/>
  <c r="Q9" s="1"/>
  <c r="I9"/>
  <c r="L9"/>
  <c r="N9"/>
  <c r="O9"/>
  <c r="P9"/>
  <c r="S9" s="1"/>
  <c r="U9" s="1"/>
  <c r="Y9" s="1"/>
  <c r="AA9" s="1"/>
  <c r="R9"/>
  <c r="T9"/>
  <c r="V9"/>
  <c r="Z9" s="1"/>
  <c r="W9"/>
  <c r="X9"/>
  <c r="AB9"/>
  <c r="AC9"/>
  <c r="AF9"/>
  <c r="C10"/>
  <c r="D10"/>
  <c r="F10"/>
  <c r="G10"/>
  <c r="H10"/>
  <c r="M10" s="1"/>
  <c r="Q10" s="1"/>
  <c r="I10"/>
  <c r="L10"/>
  <c r="N10"/>
  <c r="O10"/>
  <c r="P10"/>
  <c r="S10" s="1"/>
  <c r="U10" s="1"/>
  <c r="Y10" s="1"/>
  <c r="AA10" s="1"/>
  <c r="R10"/>
  <c r="T10"/>
  <c r="V10"/>
  <c r="W10"/>
  <c r="X10"/>
  <c r="Z10"/>
  <c r="AB10"/>
  <c r="AC10"/>
  <c r="AF10"/>
  <c r="C11"/>
  <c r="D11"/>
  <c r="F11"/>
  <c r="G11"/>
  <c r="H11"/>
  <c r="M11" s="1"/>
  <c r="Q11" s="1"/>
  <c r="I11"/>
  <c r="L11"/>
  <c r="N11"/>
  <c r="O11"/>
  <c r="P11"/>
  <c r="S11" s="1"/>
  <c r="U11" s="1"/>
  <c r="Y11" s="1"/>
  <c r="AA11" s="1"/>
  <c r="R11"/>
  <c r="T11"/>
  <c r="V11"/>
  <c r="W11"/>
  <c r="X11"/>
  <c r="Z11"/>
  <c r="AB11"/>
  <c r="AC11"/>
  <c r="AF11"/>
  <c r="C12"/>
  <c r="D12"/>
  <c r="F12"/>
  <c r="G12"/>
  <c r="H12"/>
  <c r="M12" s="1"/>
  <c r="Q12" s="1"/>
  <c r="I12"/>
  <c r="L12"/>
  <c r="N12"/>
  <c r="O12"/>
  <c r="P12"/>
  <c r="S12" s="1"/>
  <c r="U12" s="1"/>
  <c r="Y12" s="1"/>
  <c r="AA12" s="1"/>
  <c r="R12"/>
  <c r="T12"/>
  <c r="V12"/>
  <c r="W12"/>
  <c r="X12"/>
  <c r="Z12"/>
  <c r="AB12"/>
  <c r="AC12"/>
  <c r="AF12"/>
  <c r="C13"/>
  <c r="D13"/>
  <c r="F13"/>
  <c r="G13"/>
  <c r="H13"/>
  <c r="M13" s="1"/>
  <c r="Q13" s="1"/>
  <c r="I13"/>
  <c r="L13"/>
  <c r="N13"/>
  <c r="O13"/>
  <c r="P13"/>
  <c r="S13" s="1"/>
  <c r="U13" s="1"/>
  <c r="Y13" s="1"/>
  <c r="AA13" s="1"/>
  <c r="R13"/>
  <c r="T13"/>
  <c r="V13"/>
  <c r="W13"/>
  <c r="X13"/>
  <c r="Z13"/>
  <c r="AB13"/>
  <c r="AC13"/>
  <c r="AF13"/>
  <c r="C14"/>
  <c r="D14"/>
  <c r="F14"/>
  <c r="G14"/>
  <c r="H14"/>
  <c r="M14" s="1"/>
  <c r="Q14" s="1"/>
  <c r="I14"/>
  <c r="L14"/>
  <c r="N14"/>
  <c r="O14"/>
  <c r="P14"/>
  <c r="S14" s="1"/>
  <c r="U14" s="1"/>
  <c r="Y14" s="1"/>
  <c r="AA14" s="1"/>
  <c r="R14"/>
  <c r="T14"/>
  <c r="V14"/>
  <c r="Z14" s="1"/>
  <c r="W14"/>
  <c r="X14"/>
  <c r="AB14"/>
  <c r="AC14"/>
  <c r="AF14"/>
  <c r="C15"/>
  <c r="D15"/>
  <c r="F15"/>
  <c r="G15"/>
  <c r="H15"/>
  <c r="I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F15"/>
  <c r="C16"/>
  <c r="D16"/>
  <c r="F16"/>
  <c r="G16"/>
  <c r="H16"/>
  <c r="M16" s="1"/>
  <c r="Q16" s="1"/>
  <c r="I16"/>
  <c r="L16"/>
  <c r="N16"/>
  <c r="O16"/>
  <c r="P16"/>
  <c r="S16" s="1"/>
  <c r="U16" s="1"/>
  <c r="Y16" s="1"/>
  <c r="AA16" s="1"/>
  <c r="R16"/>
  <c r="T16"/>
  <c r="V16"/>
  <c r="W16"/>
  <c r="X16"/>
  <c r="Z16"/>
  <c r="AB16"/>
  <c r="AC16"/>
  <c r="AF16"/>
  <c r="C17"/>
  <c r="D17"/>
  <c r="F17"/>
  <c r="G17"/>
  <c r="H17"/>
  <c r="I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F17"/>
  <c r="C18"/>
  <c r="D18"/>
  <c r="F18"/>
  <c r="G18"/>
  <c r="H18"/>
  <c r="M18" s="1"/>
  <c r="Q18" s="1"/>
  <c r="I18"/>
  <c r="L18"/>
  <c r="N18"/>
  <c r="O18"/>
  <c r="P18"/>
  <c r="S18" s="1"/>
  <c r="U18" s="1"/>
  <c r="Y18" s="1"/>
  <c r="AA18" s="1"/>
  <c r="R18"/>
  <c r="T18"/>
  <c r="V18"/>
  <c r="W18"/>
  <c r="X18"/>
  <c r="Z18"/>
  <c r="AB18"/>
  <c r="AC18"/>
  <c r="AF18"/>
  <c r="C19"/>
  <c r="D19"/>
  <c r="F19"/>
  <c r="G19"/>
  <c r="H19"/>
  <c r="I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F19"/>
  <c r="C20"/>
  <c r="D20"/>
  <c r="F20"/>
  <c r="G20"/>
  <c r="H20"/>
  <c r="M20" s="1"/>
  <c r="Q20" s="1"/>
  <c r="I20"/>
  <c r="L20"/>
  <c r="N20"/>
  <c r="O20"/>
  <c r="P20"/>
  <c r="S20" s="1"/>
  <c r="U20" s="1"/>
  <c r="Y20" s="1"/>
  <c r="AA20" s="1"/>
  <c r="R20"/>
  <c r="T20"/>
  <c r="V20"/>
  <c r="W20"/>
  <c r="X20"/>
  <c r="Z20"/>
  <c r="AB20"/>
  <c r="AC20"/>
  <c r="AF20"/>
  <c r="C21"/>
  <c r="D21"/>
  <c r="F21"/>
  <c r="G21"/>
  <c r="H21"/>
  <c r="I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F21"/>
  <c r="F8" i="13"/>
  <c r="G8"/>
  <c r="I8"/>
  <c r="J8"/>
  <c r="Q8"/>
  <c r="V8" s="1"/>
  <c r="R8"/>
  <c r="X8"/>
  <c r="Z8"/>
  <c r="AC8" s="1"/>
  <c r="AE8" s="1"/>
  <c r="AA8"/>
  <c r="AD8" i="12" s="1"/>
  <c r="AB8" i="13"/>
  <c r="AD8"/>
  <c r="AG8" i="12" s="1"/>
  <c r="AJ8" i="13"/>
  <c r="F9"/>
  <c r="G9"/>
  <c r="I9"/>
  <c r="J9"/>
  <c r="Q9"/>
  <c r="V9" s="1"/>
  <c r="R9"/>
  <c r="X9"/>
  <c r="Z9"/>
  <c r="AC9" s="1"/>
  <c r="AE9" s="1"/>
  <c r="AA9"/>
  <c r="AD9" i="12" s="1"/>
  <c r="AB9" i="13"/>
  <c r="AD9"/>
  <c r="AG9" i="12" s="1"/>
  <c r="AJ9" i="13"/>
  <c r="F10"/>
  <c r="G10"/>
  <c r="I10"/>
  <c r="J10"/>
  <c r="Q10"/>
  <c r="V10" s="1"/>
  <c r="R10"/>
  <c r="X10"/>
  <c r="Z10"/>
  <c r="AA10"/>
  <c r="AD10" i="12" s="1"/>
  <c r="AB10" i="13"/>
  <c r="AC10"/>
  <c r="AD10"/>
  <c r="AG10" i="12" s="1"/>
  <c r="AE10" i="13"/>
  <c r="AJ10"/>
  <c r="F11"/>
  <c r="G11"/>
  <c r="I11"/>
  <c r="J11"/>
  <c r="Q11"/>
  <c r="V11" s="1"/>
  <c r="R11"/>
  <c r="X11"/>
  <c r="Z11"/>
  <c r="AC11" s="1"/>
  <c r="AE11" s="1"/>
  <c r="AA11"/>
  <c r="AD11" i="12" s="1"/>
  <c r="AB11" i="13"/>
  <c r="AD11"/>
  <c r="AG11" i="12" s="1"/>
  <c r="AJ11" i="13"/>
  <c r="F12"/>
  <c r="G12"/>
  <c r="I12"/>
  <c r="J12"/>
  <c r="Q12"/>
  <c r="V12" s="1"/>
  <c r="R12"/>
  <c r="X12"/>
  <c r="Z12"/>
  <c r="AA12"/>
  <c r="AD12" i="12" s="1"/>
  <c r="AB12" i="13"/>
  <c r="AC12"/>
  <c r="AD12"/>
  <c r="AG12" i="12" s="1"/>
  <c r="AE12" i="13"/>
  <c r="AJ12"/>
  <c r="F13"/>
  <c r="G13"/>
  <c r="I13"/>
  <c r="J13"/>
  <c r="Q13"/>
  <c r="R13"/>
  <c r="AJ13" s="1"/>
  <c r="V13"/>
  <c r="X13"/>
  <c r="Z13"/>
  <c r="AC13" s="1"/>
  <c r="AE13" s="1"/>
  <c r="AA13"/>
  <c r="AD13" i="12" s="1"/>
  <c r="AB13" i="13"/>
  <c r="AD13" s="1"/>
  <c r="AG13" i="12" s="1"/>
  <c r="F14" i="13"/>
  <c r="G14"/>
  <c r="I14"/>
  <c r="J14"/>
  <c r="AB14" s="1"/>
  <c r="AD14" s="1"/>
  <c r="AG14" i="12" s="1"/>
  <c r="Q14" i="13"/>
  <c r="R14"/>
  <c r="AJ14" s="1"/>
  <c r="V14"/>
  <c r="X14"/>
  <c r="Z14"/>
  <c r="AC14" s="1"/>
  <c r="AE14" s="1"/>
  <c r="AA14"/>
  <c r="AD14" i="12" s="1"/>
  <c r="F15" i="13"/>
  <c r="G15"/>
  <c r="I15"/>
  <c r="J15"/>
  <c r="Q15"/>
  <c r="R15"/>
  <c r="AJ15" s="1"/>
  <c r="V15"/>
  <c r="X15"/>
  <c r="Z15"/>
  <c r="AC15" s="1"/>
  <c r="AE15" s="1"/>
  <c r="AA15"/>
  <c r="AD15" i="12" s="1"/>
  <c r="AB15" i="13"/>
  <c r="AD15" s="1"/>
  <c r="AG15" i="12" s="1"/>
  <c r="F16" i="13"/>
  <c r="G16"/>
  <c r="I16"/>
  <c r="J16"/>
  <c r="AB16" s="1"/>
  <c r="AD16" s="1"/>
  <c r="AG16" i="12" s="1"/>
  <c r="Q16" i="13"/>
  <c r="R16"/>
  <c r="AJ16" s="1"/>
  <c r="V16"/>
  <c r="X16"/>
  <c r="Z16"/>
  <c r="AC16" s="1"/>
  <c r="AE16" s="1"/>
  <c r="AA16"/>
  <c r="AD16" i="12" s="1"/>
  <c r="F17" i="13"/>
  <c r="G17"/>
  <c r="I17"/>
  <c r="J17"/>
  <c r="AB17" s="1"/>
  <c r="AD17" s="1"/>
  <c r="AG17" i="12" s="1"/>
  <c r="Q17" i="13"/>
  <c r="R17"/>
  <c r="AJ17" s="1"/>
  <c r="V17"/>
  <c r="X17"/>
  <c r="Z17"/>
  <c r="AC17" s="1"/>
  <c r="AE17" s="1"/>
  <c r="AA17"/>
  <c r="AD17" i="12" s="1"/>
  <c r="F18" i="13"/>
  <c r="G18"/>
  <c r="I18"/>
  <c r="J18"/>
  <c r="Q18"/>
  <c r="R18"/>
  <c r="AJ18" s="1"/>
  <c r="V18"/>
  <c r="X18"/>
  <c r="Z18"/>
  <c r="AC18" s="1"/>
  <c r="AE18" s="1"/>
  <c r="AA18"/>
  <c r="AD18" i="12" s="1"/>
  <c r="AB18" i="13"/>
  <c r="AD18" s="1"/>
  <c r="AG18" i="12" s="1"/>
  <c r="F19" i="13"/>
  <c r="G19"/>
  <c r="I19"/>
  <c r="J19"/>
  <c r="AB19" s="1"/>
  <c r="AD19" s="1"/>
  <c r="AG19" i="12" s="1"/>
  <c r="Q19" i="13"/>
  <c r="R19"/>
  <c r="AJ19" s="1"/>
  <c r="V19"/>
  <c r="X19"/>
  <c r="Z19"/>
  <c r="AC19" s="1"/>
  <c r="AE19" s="1"/>
  <c r="AA19"/>
  <c r="AD19" i="12" s="1"/>
  <c r="F20" i="13"/>
  <c r="G20"/>
  <c r="I20"/>
  <c r="J20"/>
  <c r="Q20"/>
  <c r="R20"/>
  <c r="AJ20" s="1"/>
  <c r="V20"/>
  <c r="X20"/>
  <c r="Z20"/>
  <c r="AC20" s="1"/>
  <c r="AE20" s="1"/>
  <c r="AA20"/>
  <c r="AD20" i="12" s="1"/>
  <c r="AB20" i="13"/>
  <c r="AD20" s="1"/>
  <c r="AG20" i="12" s="1"/>
  <c r="F21" i="13"/>
  <c r="G21"/>
  <c r="I21"/>
  <c r="J21"/>
  <c r="AB21" s="1"/>
  <c r="AD21" s="1"/>
  <c r="AG21" i="12" s="1"/>
  <c r="Q21" i="13"/>
  <c r="R21"/>
  <c r="AJ21" s="1"/>
  <c r="V21"/>
  <c r="X21"/>
  <c r="Z21"/>
  <c r="AC21" s="1"/>
  <c r="AE21" s="1"/>
  <c r="AA21"/>
  <c r="AD21" i="12" s="1"/>
  <c r="F22" i="13"/>
  <c r="G22"/>
  <c r="I22"/>
  <c r="J22"/>
  <c r="M22"/>
  <c r="N22"/>
  <c r="O22"/>
  <c r="P22"/>
  <c r="Q22"/>
  <c r="V22" s="1"/>
  <c r="R22"/>
  <c r="AJ22" s="1"/>
  <c r="S22"/>
  <c r="T22"/>
  <c r="U22"/>
  <c r="W22"/>
  <c r="X22"/>
  <c r="Y22"/>
  <c r="Z22"/>
  <c r="AC22" s="1"/>
  <c r="AE22" s="1"/>
  <c r="AA22"/>
  <c r="AB22"/>
  <c r="AD22"/>
  <c r="AH22"/>
  <c r="AI22" s="1"/>
  <c r="AK22"/>
  <c r="AL22"/>
  <c r="AM22"/>
  <c r="AN22"/>
  <c r="AO22"/>
  <c r="F23"/>
  <c r="G23"/>
  <c r="I23"/>
  <c r="J23"/>
  <c r="M23"/>
  <c r="N23"/>
  <c r="O23"/>
  <c r="P23"/>
  <c r="Q23"/>
  <c r="R23"/>
  <c r="AJ23" s="1"/>
  <c r="S23"/>
  <c r="T23"/>
  <c r="U23"/>
  <c r="V23"/>
  <c r="W23"/>
  <c r="X23"/>
  <c r="Y23"/>
  <c r="Z23"/>
  <c r="AC23" s="1"/>
  <c r="AE23" s="1"/>
  <c r="AA23"/>
  <c r="AB23"/>
  <c r="AD23" s="1"/>
  <c r="AH23"/>
  <c r="AI23" s="1"/>
  <c r="AK23"/>
  <c r="AL23"/>
  <c r="AM23"/>
  <c r="AO23"/>
  <c r="F24"/>
  <c r="G24"/>
  <c r="I24"/>
  <c r="J24"/>
  <c r="M24"/>
  <c r="N24"/>
  <c r="O24"/>
  <c r="P24"/>
  <c r="Q24"/>
  <c r="V24" s="1"/>
  <c r="R24"/>
  <c r="S24"/>
  <c r="T24"/>
  <c r="U24"/>
  <c r="W24"/>
  <c r="X24"/>
  <c r="Y24"/>
  <c r="Z24"/>
  <c r="AC24" s="1"/>
  <c r="AE24" s="1"/>
  <c r="AA24"/>
  <c r="AB24"/>
  <c r="AD24"/>
  <c r="AH24"/>
  <c r="AI24" s="1"/>
  <c r="AJ24"/>
  <c r="AK24"/>
  <c r="AL24"/>
  <c r="AM24"/>
  <c r="AN24"/>
  <c r="AO24"/>
  <c r="F25"/>
  <c r="G25"/>
  <c r="I25"/>
  <c r="J25"/>
  <c r="AB25" s="1"/>
  <c r="AD25" s="1"/>
  <c r="M25"/>
  <c r="N25"/>
  <c r="O25"/>
  <c r="P25"/>
  <c r="Q25"/>
  <c r="V25" s="1"/>
  <c r="R25"/>
  <c r="S25"/>
  <c r="T25"/>
  <c r="U25"/>
  <c r="W25"/>
  <c r="X25"/>
  <c r="Y25"/>
  <c r="Z25"/>
  <c r="AC25" s="1"/>
  <c r="AE25" s="1"/>
  <c r="AA25"/>
  <c r="AH25"/>
  <c r="AI25" s="1"/>
  <c r="AJ25"/>
  <c r="AK25"/>
  <c r="AL25"/>
  <c r="AM25"/>
  <c r="AO25"/>
  <c r="F26"/>
  <c r="G26"/>
  <c r="I26"/>
  <c r="J26"/>
  <c r="M26"/>
  <c r="N26"/>
  <c r="O26"/>
  <c r="P26"/>
  <c r="Q26"/>
  <c r="R26"/>
  <c r="AJ26" s="1"/>
  <c r="S26"/>
  <c r="T26"/>
  <c r="U26"/>
  <c r="V26"/>
  <c r="W26"/>
  <c r="X26"/>
  <c r="Y26"/>
  <c r="Z26"/>
  <c r="AC26" s="1"/>
  <c r="AE26" s="1"/>
  <c r="AA26"/>
  <c r="AB26"/>
  <c r="AD26" s="1"/>
  <c r="AH26"/>
  <c r="AI26" s="1"/>
  <c r="AK26"/>
  <c r="AL26"/>
  <c r="AM26"/>
  <c r="AN26"/>
  <c r="AO26"/>
  <c r="F27"/>
  <c r="G27"/>
  <c r="I27"/>
  <c r="J27"/>
  <c r="AB27" s="1"/>
  <c r="AD27" s="1"/>
  <c r="M27"/>
  <c r="N27"/>
  <c r="O27"/>
  <c r="P27"/>
  <c r="Q27"/>
  <c r="V27" s="1"/>
  <c r="R27"/>
  <c r="AJ27" s="1"/>
  <c r="S27"/>
  <c r="T27"/>
  <c r="U27"/>
  <c r="W27"/>
  <c r="X27"/>
  <c r="Y27"/>
  <c r="Z27"/>
  <c r="AA27"/>
  <c r="AC27"/>
  <c r="AE27" s="1"/>
  <c r="AH27"/>
  <c r="AI27" s="1"/>
  <c r="AK27"/>
  <c r="AL27"/>
  <c r="AM27"/>
  <c r="AN27"/>
  <c r="AO27"/>
  <c r="Z7"/>
  <c r="X7"/>
  <c r="AC7"/>
  <c r="AE7" s="1"/>
  <c r="R7"/>
  <c r="I7"/>
  <c r="CA22" i="12"/>
  <c r="CA23"/>
  <c r="CA24"/>
  <c r="CA25"/>
  <c r="CA26"/>
  <c r="CA27"/>
  <c r="AJ7"/>
  <c r="AM21" l="1"/>
  <c r="AM20"/>
  <c r="AM19"/>
  <c r="AM18"/>
  <c r="AM17"/>
  <c r="AM16"/>
  <c r="AM15"/>
  <c r="AM14"/>
  <c r="AM13"/>
  <c r="AM12"/>
  <c r="AM11"/>
  <c r="AM10"/>
  <c r="CA18"/>
  <c r="CA12"/>
  <c r="CA10"/>
  <c r="CA8"/>
  <c r="CA7"/>
  <c r="AC7" i="15"/>
  <c r="CA20" i="12"/>
  <c r="CA16"/>
  <c r="CA14"/>
  <c r="CA21"/>
  <c r="CA19"/>
  <c r="CA17"/>
  <c r="CA15"/>
  <c r="CA13"/>
  <c r="CA11"/>
  <c r="CA9"/>
  <c r="B9" i="9"/>
  <c r="B10"/>
  <c r="B11"/>
  <c r="B12"/>
  <c r="B13"/>
  <c r="B14"/>
  <c r="B15"/>
  <c r="B16"/>
  <c r="B17"/>
  <c r="B18"/>
  <c r="B19"/>
  <c r="B20"/>
  <c r="B21"/>
  <c r="B22"/>
  <c r="CA28" i="12" l="1"/>
  <c r="AJ28" s="1"/>
  <c r="AV10" l="1"/>
  <c r="AW10"/>
  <c r="AV11"/>
  <c r="AW11"/>
  <c r="AV12"/>
  <c r="AW12"/>
  <c r="AV13"/>
  <c r="AW13"/>
  <c r="AV14"/>
  <c r="AW14"/>
  <c r="AV15"/>
  <c r="AW15"/>
  <c r="AV16"/>
  <c r="AW16"/>
  <c r="AV17"/>
  <c r="AW17"/>
  <c r="AV18"/>
  <c r="AW18"/>
  <c r="AV19"/>
  <c r="AW19"/>
  <c r="AV20"/>
  <c r="AW20"/>
  <c r="AV21"/>
  <c r="AW21"/>
  <c r="W42" i="13"/>
  <c r="G7"/>
  <c r="G13" i="16"/>
  <c r="H13"/>
  <c r="I13"/>
  <c r="J13"/>
  <c r="K13"/>
  <c r="AG13" s="1"/>
  <c r="L13"/>
  <c r="M13"/>
  <c r="O13" s="1"/>
  <c r="N13"/>
  <c r="G14"/>
  <c r="H14"/>
  <c r="I14"/>
  <c r="J14"/>
  <c r="K14"/>
  <c r="AH14" s="1"/>
  <c r="L14"/>
  <c r="M14"/>
  <c r="N14"/>
  <c r="O14"/>
  <c r="G15"/>
  <c r="H15"/>
  <c r="I15"/>
  <c r="J15"/>
  <c r="K15"/>
  <c r="AG15" s="1"/>
  <c r="L15"/>
  <c r="M15"/>
  <c r="N15"/>
  <c r="O15"/>
  <c r="G16"/>
  <c r="H16"/>
  <c r="I16"/>
  <c r="J16"/>
  <c r="K16"/>
  <c r="AH16" s="1"/>
  <c r="L16"/>
  <c r="M16"/>
  <c r="O16" s="1"/>
  <c r="N16"/>
  <c r="G17"/>
  <c r="H17"/>
  <c r="I17"/>
  <c r="J17"/>
  <c r="K17"/>
  <c r="AG17" s="1"/>
  <c r="L17"/>
  <c r="M17"/>
  <c r="O17" s="1"/>
  <c r="N17"/>
  <c r="G18"/>
  <c r="H18"/>
  <c r="I18"/>
  <c r="J18"/>
  <c r="K18"/>
  <c r="AH18" s="1"/>
  <c r="L18"/>
  <c r="M18"/>
  <c r="O18" s="1"/>
  <c r="N18"/>
  <c r="G19"/>
  <c r="H19"/>
  <c r="I19"/>
  <c r="J19"/>
  <c r="K19"/>
  <c r="AG19" s="1"/>
  <c r="L19"/>
  <c r="M19"/>
  <c r="N19"/>
  <c r="O19"/>
  <c r="G20"/>
  <c r="H20"/>
  <c r="I20"/>
  <c r="J20"/>
  <c r="K20"/>
  <c r="AH20" s="1"/>
  <c r="L20"/>
  <c r="M20"/>
  <c r="O20" s="1"/>
  <c r="N20"/>
  <c r="G21"/>
  <c r="H21"/>
  <c r="I21"/>
  <c r="J21"/>
  <c r="K21"/>
  <c r="AG21" s="1"/>
  <c r="L21"/>
  <c r="M21"/>
  <c r="O21" s="1"/>
  <c r="N21"/>
  <c r="G22"/>
  <c r="H22"/>
  <c r="I22"/>
  <c r="J22"/>
  <c r="K22"/>
  <c r="AH22" s="1"/>
  <c r="L22"/>
  <c r="M22"/>
  <c r="O22" s="1"/>
  <c r="N22"/>
  <c r="G23"/>
  <c r="H23"/>
  <c r="I23"/>
  <c r="J23"/>
  <c r="K23"/>
  <c r="AG23" s="1"/>
  <c r="L23"/>
  <c r="M23"/>
  <c r="N23"/>
  <c r="G24"/>
  <c r="H24"/>
  <c r="I24"/>
  <c r="J24"/>
  <c r="K24"/>
  <c r="AH24" s="1"/>
  <c r="L24"/>
  <c r="M24"/>
  <c r="O24" s="1"/>
  <c r="N24"/>
  <c r="G25"/>
  <c r="H25"/>
  <c r="I25"/>
  <c r="J25"/>
  <c r="K25"/>
  <c r="AG25" s="1"/>
  <c r="L25"/>
  <c r="M25"/>
  <c r="N25"/>
  <c r="G26"/>
  <c r="H26"/>
  <c r="I26"/>
  <c r="J26"/>
  <c r="K26"/>
  <c r="AH26" s="1"/>
  <c r="L26"/>
  <c r="M26"/>
  <c r="N26"/>
  <c r="P25" l="1"/>
  <c r="Q25" s="1"/>
  <c r="P23"/>
  <c r="Q23" s="1"/>
  <c r="P21"/>
  <c r="Q21" s="1"/>
  <c r="P17"/>
  <c r="Q17" s="1"/>
  <c r="P15"/>
  <c r="Q15" s="1"/>
  <c r="AG26"/>
  <c r="AI26" s="1"/>
  <c r="AG24"/>
  <c r="AI24" s="1"/>
  <c r="AG22"/>
  <c r="AI22" s="1"/>
  <c r="AG20"/>
  <c r="AI20" s="1"/>
  <c r="AG18"/>
  <c r="AI18" s="1"/>
  <c r="AG16"/>
  <c r="AI16" s="1"/>
  <c r="AJ16" s="1"/>
  <c r="AG14"/>
  <c r="AI14" s="1"/>
  <c r="AJ14" s="1"/>
  <c r="AH25"/>
  <c r="AI25" s="1"/>
  <c r="AH23"/>
  <c r="AI23" s="1"/>
  <c r="AH21"/>
  <c r="AI21" s="1"/>
  <c r="AH19"/>
  <c r="AI19" s="1"/>
  <c r="AH17"/>
  <c r="AI17" s="1"/>
  <c r="AH15"/>
  <c r="AI15" s="1"/>
  <c r="AJ15" s="1"/>
  <c r="AH13"/>
  <c r="AI13" s="1"/>
  <c r="AJ13" s="1"/>
  <c r="P26"/>
  <c r="Q26" s="1"/>
  <c r="P22"/>
  <c r="Q22" s="1"/>
  <c r="P20"/>
  <c r="Q20" s="1"/>
  <c r="P18"/>
  <c r="Q18" s="1"/>
  <c r="P16"/>
  <c r="Q16" s="1"/>
  <c r="P14"/>
  <c r="Q14" s="1"/>
  <c r="O25"/>
  <c r="P19"/>
  <c r="Q19" s="1"/>
  <c r="O23"/>
  <c r="P13"/>
  <c r="Q13" s="1"/>
  <c r="O26"/>
  <c r="P24"/>
  <c r="Q24" s="1"/>
  <c r="F18" i="2" l="1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AU22" i="13"/>
  <c r="AU23"/>
  <c r="AU24"/>
  <c r="AU25"/>
  <c r="AU26"/>
  <c r="AU27"/>
  <c r="AW7"/>
  <c r="AU7" s="1"/>
  <c r="AV8"/>
  <c r="AW8"/>
  <c r="AU8" s="1"/>
  <c r="AV9"/>
  <c r="AW9"/>
  <c r="AU9" s="1"/>
  <c r="AV10"/>
  <c r="AW10"/>
  <c r="AU10" s="1"/>
  <c r="AV11"/>
  <c r="AW11"/>
  <c r="AU11" s="1"/>
  <c r="AV12"/>
  <c r="AW12"/>
  <c r="AU12" s="1"/>
  <c r="AV13"/>
  <c r="AW13"/>
  <c r="AU13" s="1"/>
  <c r="AV14"/>
  <c r="AW14"/>
  <c r="AU14" s="1"/>
  <c r="AV15"/>
  <c r="AW15"/>
  <c r="AU15" s="1"/>
  <c r="AV16"/>
  <c r="AW16"/>
  <c r="AU16" s="1"/>
  <c r="AV17"/>
  <c r="AW17"/>
  <c r="AU17" s="1"/>
  <c r="AV18"/>
  <c r="AW18"/>
  <c r="AU18" s="1"/>
  <c r="AV19"/>
  <c r="AW19"/>
  <c r="AU19" s="1"/>
  <c r="AV20"/>
  <c r="AW20"/>
  <c r="AU20" s="1"/>
  <c r="AV21"/>
  <c r="AW21"/>
  <c r="AU21" s="1"/>
  <c r="AV7"/>
  <c r="AT9"/>
  <c r="AT10"/>
  <c r="AT11"/>
  <c r="AT12"/>
  <c r="AT13"/>
  <c r="AT14"/>
  <c r="AT15"/>
  <c r="AT16"/>
  <c r="AT17"/>
  <c r="AT18"/>
  <c r="AT19"/>
  <c r="AT21"/>
  <c r="AS9"/>
  <c r="AS11"/>
  <c r="AS13"/>
  <c r="AS15"/>
  <c r="AS17"/>
  <c r="AS19"/>
  <c r="AS20"/>
  <c r="AS21"/>
  <c r="G17" i="2"/>
  <c r="F17"/>
  <c r="N21" i="13" l="1"/>
  <c r="P21" i="12" s="1"/>
  <c r="M21" i="13"/>
  <c r="O21" i="12" s="1"/>
  <c r="S21" i="13"/>
  <c r="U21" i="12" s="1"/>
  <c r="W21" i="13"/>
  <c r="Y21" i="12" s="1"/>
  <c r="Y21" i="13"/>
  <c r="AA21" i="12" s="1"/>
  <c r="N20" i="13"/>
  <c r="P20" i="12" s="1"/>
  <c r="M20" i="13"/>
  <c r="O20" i="12" s="1"/>
  <c r="S20" i="13"/>
  <c r="U20" i="12" s="1"/>
  <c r="W20" i="13"/>
  <c r="Y20" i="12" s="1"/>
  <c r="Y20" i="13"/>
  <c r="AA20" i="12" s="1"/>
  <c r="N19" i="13"/>
  <c r="P19" i="12" s="1"/>
  <c r="M19" i="13"/>
  <c r="O19" i="12" s="1"/>
  <c r="S19" i="13"/>
  <c r="U19" i="12" s="1"/>
  <c r="W19" i="13"/>
  <c r="Y19" i="12" s="1"/>
  <c r="Y19" i="13"/>
  <c r="AA19" i="12" s="1"/>
  <c r="N18" i="13"/>
  <c r="P18" i="12" s="1"/>
  <c r="M18" i="13"/>
  <c r="O18" i="12" s="1"/>
  <c r="S18" i="13"/>
  <c r="U18" i="12" s="1"/>
  <c r="W18" i="13"/>
  <c r="Y18" i="12" s="1"/>
  <c r="Y18" i="13"/>
  <c r="AA18" i="12" s="1"/>
  <c r="N17" i="13"/>
  <c r="P17" i="12" s="1"/>
  <c r="M17" i="13"/>
  <c r="O17" i="12" s="1"/>
  <c r="S17" i="13"/>
  <c r="U17" i="12" s="1"/>
  <c r="W17" i="13"/>
  <c r="Y17" i="12" s="1"/>
  <c r="Y17" i="13"/>
  <c r="AA17" i="12" s="1"/>
  <c r="N16" i="13"/>
  <c r="P16" i="12" s="1"/>
  <c r="M16" i="13"/>
  <c r="O16" i="12" s="1"/>
  <c r="S16" i="13"/>
  <c r="U16" i="12" s="1"/>
  <c r="W16" i="13"/>
  <c r="Y16" i="12" s="1"/>
  <c r="Y16" i="13"/>
  <c r="AA16" i="12" s="1"/>
  <c r="N15" i="13"/>
  <c r="P15" i="12" s="1"/>
  <c r="M15" i="13"/>
  <c r="O15" i="12" s="1"/>
  <c r="S15" i="13"/>
  <c r="U15" i="12" s="1"/>
  <c r="W15" i="13"/>
  <c r="Y15" i="12" s="1"/>
  <c r="Y15" i="13"/>
  <c r="AA15" i="12" s="1"/>
  <c r="N14" i="13"/>
  <c r="P14" i="12" s="1"/>
  <c r="M14" i="13"/>
  <c r="O14" i="12" s="1"/>
  <c r="S14" i="13"/>
  <c r="U14" i="12" s="1"/>
  <c r="W14" i="13"/>
  <c r="Y14" i="12" s="1"/>
  <c r="Y14" i="13"/>
  <c r="AA14" i="12" s="1"/>
  <c r="N13" i="13"/>
  <c r="P13" i="12" s="1"/>
  <c r="M13" i="13"/>
  <c r="O13" i="12" s="1"/>
  <c r="S13" i="13"/>
  <c r="U13" i="12" s="1"/>
  <c r="W13" i="13"/>
  <c r="Y13" i="12" s="1"/>
  <c r="Y13" i="13"/>
  <c r="AA13" i="12" s="1"/>
  <c r="M12" i="13"/>
  <c r="O12" i="12" s="1"/>
  <c r="N12" i="13"/>
  <c r="P12" i="12" s="1"/>
  <c r="S12" i="13"/>
  <c r="U12" i="12" s="1"/>
  <c r="W12" i="13"/>
  <c r="Y12" i="12" s="1"/>
  <c r="Y12" i="13"/>
  <c r="AA12" i="12" s="1"/>
  <c r="M11" i="13"/>
  <c r="O11" i="12" s="1"/>
  <c r="S11" i="13"/>
  <c r="U11" i="12" s="1"/>
  <c r="W11" i="13"/>
  <c r="Y11" i="12" s="1"/>
  <c r="Y11" i="13"/>
  <c r="AA11" i="12" s="1"/>
  <c r="N11" i="13"/>
  <c r="P11" i="12" s="1"/>
  <c r="M10" i="13"/>
  <c r="O10" i="12" s="1"/>
  <c r="S10" i="13"/>
  <c r="U10" i="12" s="1"/>
  <c r="W10" i="13"/>
  <c r="Y10" i="12" s="1"/>
  <c r="Y10" i="13"/>
  <c r="AA10" i="12" s="1"/>
  <c r="N10" i="13"/>
  <c r="P10" i="12" s="1"/>
  <c r="M9" i="13"/>
  <c r="O9" i="12" s="1"/>
  <c r="S9" i="13"/>
  <c r="U9" i="12" s="1"/>
  <c r="W9" i="13"/>
  <c r="Y9" i="12" s="1"/>
  <c r="Y9" i="13"/>
  <c r="AA9" i="12" s="1"/>
  <c r="N9" i="13"/>
  <c r="P9" i="12" s="1"/>
  <c r="M8" i="13"/>
  <c r="O8" i="12" s="1"/>
  <c r="S8" i="13"/>
  <c r="U8" i="12" s="1"/>
  <c r="W8" i="13"/>
  <c r="Y8" i="12" s="1"/>
  <c r="Y8" i="13"/>
  <c r="AA8" i="12" s="1"/>
  <c r="N8" i="13"/>
  <c r="P8" i="12" s="1"/>
  <c r="P21" i="13"/>
  <c r="R21" i="12" s="1"/>
  <c r="T21" i="13"/>
  <c r="V21" i="12" s="1"/>
  <c r="O21" i="13"/>
  <c r="Q21" i="12" s="1"/>
  <c r="P20" i="13"/>
  <c r="R20" i="12" s="1"/>
  <c r="T20" i="13"/>
  <c r="V20" i="12" s="1"/>
  <c r="O20" i="13"/>
  <c r="Q20" i="12" s="1"/>
  <c r="P19" i="13"/>
  <c r="R19" i="12" s="1"/>
  <c r="T19" i="13"/>
  <c r="V19" i="12" s="1"/>
  <c r="O19" i="13"/>
  <c r="Q19" i="12" s="1"/>
  <c r="P18" i="13"/>
  <c r="R18" i="12" s="1"/>
  <c r="T18" i="13"/>
  <c r="V18" i="12" s="1"/>
  <c r="O18" i="13"/>
  <c r="Q18" i="12" s="1"/>
  <c r="P17" i="13"/>
  <c r="R17" i="12" s="1"/>
  <c r="T17" i="13"/>
  <c r="V17" i="12" s="1"/>
  <c r="O17" i="13"/>
  <c r="Q17" i="12" s="1"/>
  <c r="P16" i="13"/>
  <c r="R16" i="12" s="1"/>
  <c r="T16" i="13"/>
  <c r="V16" i="12" s="1"/>
  <c r="O16" i="13"/>
  <c r="Q16" i="12" s="1"/>
  <c r="P15" i="13"/>
  <c r="R15" i="12" s="1"/>
  <c r="T15" i="13"/>
  <c r="V15" i="12" s="1"/>
  <c r="O15" i="13"/>
  <c r="Q15" i="12" s="1"/>
  <c r="P14" i="13"/>
  <c r="R14" i="12" s="1"/>
  <c r="T14" i="13"/>
  <c r="V14" i="12" s="1"/>
  <c r="O14" i="13"/>
  <c r="Q14" i="12" s="1"/>
  <c r="P13" i="13"/>
  <c r="R13" i="12" s="1"/>
  <c r="T13" i="13"/>
  <c r="V13" i="12" s="1"/>
  <c r="O13" i="13"/>
  <c r="Q13" i="12" s="1"/>
  <c r="O12" i="13"/>
  <c r="Q12" i="12" s="1"/>
  <c r="P12" i="13"/>
  <c r="R12" i="12" s="1"/>
  <c r="T12" i="13"/>
  <c r="V12" i="12" s="1"/>
  <c r="O11" i="13"/>
  <c r="Q11" i="12" s="1"/>
  <c r="P11" i="13"/>
  <c r="R11" i="12" s="1"/>
  <c r="T11" i="13"/>
  <c r="V11" i="12" s="1"/>
  <c r="O10" i="13"/>
  <c r="Q10" i="12" s="1"/>
  <c r="P10" i="13"/>
  <c r="R10" i="12" s="1"/>
  <c r="T10" i="13"/>
  <c r="V10" i="12" s="1"/>
  <c r="O9" i="13"/>
  <c r="Q9" i="12" s="1"/>
  <c r="P9" i="13"/>
  <c r="R9" i="12" s="1"/>
  <c r="T9" i="13"/>
  <c r="V9" i="12" s="1"/>
  <c r="O8" i="13"/>
  <c r="Q8" i="12" s="1"/>
  <c r="P8" i="13"/>
  <c r="R8" i="12" s="1"/>
  <c r="T8" i="13"/>
  <c r="V8" i="12" s="1"/>
  <c r="O7" i="13"/>
  <c r="AA7"/>
  <c r="S7"/>
  <c r="U7" i="12" s="1"/>
  <c r="M7" i="13"/>
  <c r="N7"/>
  <c r="H29" i="2"/>
  <c r="U19" i="13" s="1"/>
  <c r="AT8"/>
  <c r="H30" i="2"/>
  <c r="U20" i="13" s="1"/>
  <c r="H28" i="2"/>
  <c r="U18" i="13" s="1"/>
  <c r="AS18"/>
  <c r="AS16"/>
  <c r="AS14"/>
  <c r="AS12"/>
  <c r="AS10"/>
  <c r="AS8"/>
  <c r="AT20"/>
  <c r="H23" i="2"/>
  <c r="U13" i="13" s="1"/>
  <c r="H22" i="2"/>
  <c r="U12" i="13" s="1"/>
  <c r="H21" i="2"/>
  <c r="U11" i="13" s="1"/>
  <c r="H20" i="2"/>
  <c r="U10" i="13" s="1"/>
  <c r="H19" i="2"/>
  <c r="U9" i="13" s="1"/>
  <c r="H18" i="2"/>
  <c r="U8" i="13" s="1"/>
  <c r="H26" i="2"/>
  <c r="U16" i="13" s="1"/>
  <c r="H25" i="2"/>
  <c r="U15" i="13" s="1"/>
  <c r="AD7" i="12"/>
  <c r="H31" i="2"/>
  <c r="U21" i="13" s="1"/>
  <c r="H27" i="2"/>
  <c r="U17" i="13" s="1"/>
  <c r="H24" i="2"/>
  <c r="U14" i="13" s="1"/>
  <c r="W7"/>
  <c r="Y7" i="12" s="1"/>
  <c r="Y7" i="13"/>
  <c r="AA7" i="12" s="1"/>
  <c r="AS7" i="13"/>
  <c r="AT7"/>
  <c r="T7"/>
  <c r="V7" i="12" s="1"/>
  <c r="P7" i="13"/>
  <c r="H17" i="2"/>
  <c r="U7" i="13" s="1"/>
  <c r="BY22" i="12"/>
  <c r="BY23"/>
  <c r="BY24"/>
  <c r="BY25"/>
  <c r="BY26"/>
  <c r="BY27"/>
  <c r="L7" i="15"/>
  <c r="BW8" i="12" l="1"/>
  <c r="BX8"/>
  <c r="BW10"/>
  <c r="BX10"/>
  <c r="BW11"/>
  <c r="BX11"/>
  <c r="BW12"/>
  <c r="BX12"/>
  <c r="BW13"/>
  <c r="BX13"/>
  <c r="BW14"/>
  <c r="BX14"/>
  <c r="BW15"/>
  <c r="BX15"/>
  <c r="BW16"/>
  <c r="BX16"/>
  <c r="BW17"/>
  <c r="BX17"/>
  <c r="BW18"/>
  <c r="BX18"/>
  <c r="BW19"/>
  <c r="BX19"/>
  <c r="BW20"/>
  <c r="BX20"/>
  <c r="BW21"/>
  <c r="BX21"/>
  <c r="R7"/>
  <c r="Q7"/>
  <c r="BZ10"/>
  <c r="BZ11"/>
  <c r="BZ12"/>
  <c r="BZ13"/>
  <c r="BZ14"/>
  <c r="BZ15"/>
  <c r="BZ16"/>
  <c r="BZ17"/>
  <c r="BZ18"/>
  <c r="BZ19"/>
  <c r="BZ20"/>
  <c r="BZ21"/>
  <c r="P7"/>
  <c r="BY8"/>
  <c r="BY10"/>
  <c r="BY11"/>
  <c r="BY12"/>
  <c r="BY13"/>
  <c r="BY14"/>
  <c r="BY15"/>
  <c r="BY16"/>
  <c r="BY17"/>
  <c r="BY18"/>
  <c r="BY19"/>
  <c r="BY20"/>
  <c r="BY21"/>
  <c r="O7"/>
  <c r="N12" i="16" l="1"/>
  <c r="I68"/>
  <c r="I55"/>
  <c r="I53"/>
  <c r="I41"/>
  <c r="I39"/>
  <c r="F13" l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A18" i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M5" i="15" l="1"/>
  <c r="M3"/>
  <c r="U13" i="16" l="1"/>
  <c r="U14"/>
  <c r="U15"/>
  <c r="U16"/>
  <c r="U17"/>
  <c r="U18"/>
  <c r="U19"/>
  <c r="U20"/>
  <c r="U21"/>
  <c r="U22"/>
  <c r="U23"/>
  <c r="U24"/>
  <c r="U25"/>
  <c r="U26"/>
  <c r="R12"/>
  <c r="L12"/>
  <c r="K12"/>
  <c r="AG12" l="1"/>
  <c r="AH12"/>
  <c r="AJ26"/>
  <c r="AJ20"/>
  <c r="AJ18"/>
  <c r="AJ25"/>
  <c r="AJ23"/>
  <c r="AJ21"/>
  <c r="AJ19"/>
  <c r="AJ17"/>
  <c r="V12"/>
  <c r="U12"/>
  <c r="K39" s="1"/>
  <c r="L53" s="1"/>
  <c r="L66" s="1"/>
  <c r="AJ24"/>
  <c r="M12"/>
  <c r="P12" s="1"/>
  <c r="G12"/>
  <c r="C6"/>
  <c r="P37" s="1"/>
  <c r="P51" s="1"/>
  <c r="P64" s="1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13"/>
  <c r="S13"/>
  <c r="T12"/>
  <c r="S12"/>
  <c r="J12"/>
  <c r="I12"/>
  <c r="H12"/>
  <c r="AI12" l="1"/>
  <c r="AJ12" s="1"/>
  <c r="Q12"/>
  <c r="O12"/>
  <c r="AJ22"/>
  <c r="I66"/>
  <c r="T27" i="15"/>
  <c r="S27"/>
  <c r="T26"/>
  <c r="S26"/>
  <c r="T25"/>
  <c r="S25"/>
  <c r="T24"/>
  <c r="S24"/>
  <c r="T23"/>
  <c r="S23"/>
  <c r="T22"/>
  <c r="S22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X7"/>
  <c r="V7"/>
  <c r="Z7" s="1"/>
  <c r="T7"/>
  <c r="R7"/>
  <c r="O7"/>
  <c r="N7"/>
  <c r="P7" s="1"/>
  <c r="G7"/>
  <c r="I7" s="1"/>
  <c r="F7"/>
  <c r="H7" s="1"/>
  <c r="D7"/>
  <c r="C7"/>
  <c r="AK6"/>
  <c r="AJ6"/>
  <c r="AJ27" i="16" l="1"/>
  <c r="M32" s="1"/>
  <c r="M7" i="15"/>
  <c r="Q7" s="1"/>
  <c r="S7"/>
  <c r="U7" s="1"/>
  <c r="Y7" s="1"/>
  <c r="AA7" s="1"/>
  <c r="AF7"/>
  <c r="W7"/>
  <c r="AC7" i="12"/>
  <c r="AE7"/>
  <c r="I24" i="7"/>
  <c r="I23"/>
  <c r="I22"/>
  <c r="I21"/>
  <c r="I20"/>
  <c r="I19"/>
  <c r="I18"/>
  <c r="I17"/>
  <c r="I16"/>
  <c r="I15"/>
  <c r="I14"/>
  <c r="I13"/>
  <c r="I12"/>
  <c r="I11"/>
  <c r="J7" i="12"/>
  <c r="L7" s="1"/>
  <c r="I7"/>
  <c r="K7" s="1"/>
  <c r="G7"/>
  <c r="BV6"/>
  <c r="BU6"/>
  <c r="A26"/>
  <c r="F42" s="1"/>
  <c r="E22" i="13"/>
  <c r="E23" s="1"/>
  <c r="E24" s="1"/>
  <c r="E25" s="1"/>
  <c r="E26" s="1"/>
  <c r="E27" s="1"/>
  <c r="J7"/>
  <c r="AI7" i="12" s="1"/>
  <c r="AB7" i="15" s="1"/>
  <c r="F7" i="13"/>
  <c r="AO6"/>
  <c r="AN6"/>
  <c r="B3"/>
  <c r="Z2" s="1"/>
  <c r="AR6" i="12"/>
  <c r="AQ6"/>
  <c r="F7"/>
  <c r="AA22"/>
  <c r="AA23"/>
  <c r="AA24"/>
  <c r="AA25"/>
  <c r="AA26"/>
  <c r="AA27"/>
  <c r="Z22"/>
  <c r="Z23"/>
  <c r="Z24"/>
  <c r="Z25"/>
  <c r="Z26"/>
  <c r="Z27"/>
  <c r="BZ8"/>
  <c r="BY9"/>
  <c r="T7"/>
  <c r="B3"/>
  <c r="AD2" s="1"/>
  <c r="E8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AV7" l="1"/>
  <c r="AM7"/>
  <c r="W7"/>
  <c r="BX7"/>
  <c r="BW7"/>
  <c r="BZ7"/>
  <c r="BY7"/>
  <c r="BW9"/>
  <c r="BX9"/>
  <c r="BZ9"/>
  <c r="AW9"/>
  <c r="AV9"/>
  <c r="AW8"/>
  <c r="AV8"/>
  <c r="AW7"/>
  <c r="BZ28"/>
  <c r="P28" s="1"/>
  <c r="BY28"/>
  <c r="Q7" i="13"/>
  <c r="V7" s="1"/>
  <c r="AB7"/>
  <c r="AD7" s="1"/>
  <c r="AG7" i="12" s="1"/>
  <c r="S7"/>
  <c r="X7" s="1"/>
  <c r="AJ7" i="13"/>
  <c r="Z7" i="12"/>
  <c r="AB7" s="1"/>
  <c r="AF7" s="1"/>
  <c r="AH7" s="1"/>
  <c r="BF9" l="1"/>
  <c r="BG9"/>
  <c r="BK11"/>
  <c r="BM11"/>
  <c r="BB11"/>
  <c r="BF13"/>
  <c r="BG13"/>
  <c r="BK15"/>
  <c r="BM15"/>
  <c r="BB15"/>
  <c r="BG17"/>
  <c r="BK17"/>
  <c r="BM19"/>
  <c r="BB19"/>
  <c r="BF19"/>
  <c r="BG21"/>
  <c r="BK21"/>
  <c r="BK18"/>
  <c r="BM18"/>
  <c r="BB18"/>
  <c r="BG8"/>
  <c r="BK8"/>
  <c r="BM10"/>
  <c r="BB10"/>
  <c r="BF10"/>
  <c r="BG14"/>
  <c r="BK14"/>
  <c r="BM16"/>
  <c r="BB16"/>
  <c r="BF16"/>
  <c r="BF20"/>
  <c r="BG20"/>
  <c r="BM12"/>
  <c r="BB12"/>
  <c r="BF12"/>
  <c r="BK9"/>
  <c r="BM9"/>
  <c r="BB9"/>
  <c r="BF11"/>
  <c r="BG11"/>
  <c r="BK13"/>
  <c r="BM13"/>
  <c r="BB13"/>
  <c r="BF15"/>
  <c r="BG15"/>
  <c r="BM17"/>
  <c r="BB17"/>
  <c r="BF17"/>
  <c r="BG19"/>
  <c r="BK19"/>
  <c r="BM21"/>
  <c r="BB21"/>
  <c r="BF21"/>
  <c r="BF18"/>
  <c r="BG18"/>
  <c r="BM8"/>
  <c r="BB8"/>
  <c r="BF8"/>
  <c r="BG10"/>
  <c r="BK10"/>
  <c r="BM14"/>
  <c r="BB14"/>
  <c r="BF14"/>
  <c r="BG16"/>
  <c r="BK16"/>
  <c r="BK20"/>
  <c r="BM20"/>
  <c r="BB20"/>
  <c r="BG12"/>
  <c r="BK12"/>
  <c r="BB7"/>
  <c r="BM7"/>
  <c r="BK7"/>
  <c r="BG7"/>
  <c r="BF7"/>
  <c r="BW28"/>
  <c r="BX28"/>
  <c r="AV28"/>
  <c r="K28" s="1"/>
  <c r="BK28"/>
  <c r="AD28" s="1"/>
  <c r="AW28"/>
  <c r="L28" s="1"/>
  <c r="I44" i="1"/>
  <c r="G13" i="3"/>
  <c r="G12"/>
  <c r="I18" i="2"/>
  <c r="I19"/>
  <c r="I20"/>
  <c r="I21"/>
  <c r="I22"/>
  <c r="I23"/>
  <c r="I24"/>
  <c r="I25"/>
  <c r="I26"/>
  <c r="I27"/>
  <c r="I28"/>
  <c r="I29"/>
  <c r="I30"/>
  <c r="I31"/>
  <c r="I17"/>
  <c r="R28" i="12" l="1"/>
  <c r="BB28"/>
  <c r="U28" s="1"/>
  <c r="BG28"/>
  <c r="AA28" s="1"/>
  <c r="BF28"/>
  <c r="Y28" s="1"/>
  <c r="BM28"/>
  <c r="AG28" s="1"/>
  <c r="N18" i="2"/>
  <c r="N19"/>
  <c r="N20"/>
  <c r="N21"/>
  <c r="N22"/>
  <c r="N23"/>
  <c r="N24"/>
  <c r="N25"/>
  <c r="N26"/>
  <c r="N27"/>
  <c r="N28"/>
  <c r="N29"/>
  <c r="N30"/>
  <c r="N31"/>
  <c r="N17"/>
  <c r="AA18" i="1"/>
  <c r="AB18" s="1"/>
  <c r="AA19"/>
  <c r="AB19" s="1"/>
  <c r="AA20"/>
  <c r="AB20" s="1"/>
  <c r="AA21"/>
  <c r="AB21" s="1"/>
  <c r="AA22"/>
  <c r="AB22" s="1"/>
  <c r="AA23"/>
  <c r="AB23" s="1"/>
  <c r="AA24"/>
  <c r="AB24" s="1"/>
  <c r="AA25"/>
  <c r="AB25" s="1"/>
  <c r="AA26"/>
  <c r="AB26" s="1"/>
  <c r="AA27"/>
  <c r="AB27" s="1"/>
  <c r="AA28"/>
  <c r="AB28" s="1"/>
  <c r="AA29"/>
  <c r="AB29" s="1"/>
  <c r="AA30"/>
  <c r="AB30" s="1"/>
  <c r="AA31"/>
  <c r="AB31" s="1"/>
  <c r="AA17"/>
  <c r="AB17" s="1"/>
  <c r="P17" i="8" l="1"/>
  <c r="H17" i="4" l="1"/>
  <c r="H18"/>
  <c r="H19"/>
  <c r="H20"/>
  <c r="H21"/>
  <c r="H22"/>
  <c r="H23"/>
  <c r="H24"/>
  <c r="H25"/>
  <c r="D17"/>
  <c r="D18"/>
  <c r="D19"/>
  <c r="D20"/>
  <c r="D21"/>
  <c r="D22"/>
  <c r="D23"/>
  <c r="D24"/>
  <c r="D25"/>
  <c r="D16" i="5"/>
  <c r="D17"/>
  <c r="D18"/>
  <c r="D19"/>
  <c r="D20"/>
  <c r="D21"/>
  <c r="D22"/>
  <c r="D23"/>
  <c r="D24"/>
  <c r="D16" i="7"/>
  <c r="D17"/>
  <c r="D18"/>
  <c r="D19"/>
  <c r="D20"/>
  <c r="D21"/>
  <c r="D22"/>
  <c r="D23"/>
  <c r="D24"/>
  <c r="V11"/>
  <c r="V12"/>
  <c r="V13"/>
  <c r="V14"/>
  <c r="V15"/>
  <c r="V16"/>
  <c r="V17"/>
  <c r="V18"/>
  <c r="V19"/>
  <c r="V20"/>
  <c r="V21"/>
  <c r="V22"/>
  <c r="V23"/>
  <c r="V24"/>
  <c r="V10"/>
  <c r="S10"/>
  <c r="S11"/>
  <c r="T11"/>
  <c r="U11"/>
  <c r="S12"/>
  <c r="T12"/>
  <c r="U12"/>
  <c r="S13"/>
  <c r="T13"/>
  <c r="U13"/>
  <c r="S14"/>
  <c r="T14"/>
  <c r="U14"/>
  <c r="S15"/>
  <c r="T15"/>
  <c r="U15"/>
  <c r="S16"/>
  <c r="T16"/>
  <c r="U16"/>
  <c r="S17"/>
  <c r="T17"/>
  <c r="U17"/>
  <c r="S18"/>
  <c r="T18"/>
  <c r="U18"/>
  <c r="S19"/>
  <c r="T19"/>
  <c r="U19"/>
  <c r="S20"/>
  <c r="T20"/>
  <c r="U20"/>
  <c r="S21"/>
  <c r="T21"/>
  <c r="U21"/>
  <c r="S22"/>
  <c r="T22"/>
  <c r="U22"/>
  <c r="S23"/>
  <c r="T23"/>
  <c r="U23"/>
  <c r="S24"/>
  <c r="T24"/>
  <c r="U24"/>
  <c r="U10"/>
  <c r="T10"/>
  <c r="I16" i="5"/>
  <c r="I17"/>
  <c r="I18"/>
  <c r="I19"/>
  <c r="I20"/>
  <c r="I21"/>
  <c r="I22"/>
  <c r="I23"/>
  <c r="I24"/>
  <c r="C16" i="3"/>
  <c r="C17"/>
  <c r="C18"/>
  <c r="C19"/>
  <c r="C20"/>
  <c r="C21"/>
  <c r="C22"/>
  <c r="C23"/>
  <c r="C24"/>
  <c r="E17" i="4" l="1"/>
  <c r="E18"/>
  <c r="E19"/>
  <c r="E20"/>
  <c r="E21"/>
  <c r="E22"/>
  <c r="E23"/>
  <c r="E24"/>
  <c r="E25"/>
  <c r="U18" i="1"/>
  <c r="U19"/>
  <c r="U20"/>
  <c r="U21"/>
  <c r="U22"/>
  <c r="U23"/>
  <c r="U24"/>
  <c r="U25"/>
  <c r="U26"/>
  <c r="U27"/>
  <c r="U28"/>
  <c r="U29"/>
  <c r="U30"/>
  <c r="U31"/>
  <c r="U17"/>
  <c r="E16" i="5"/>
  <c r="E17"/>
  <c r="E18"/>
  <c r="E19"/>
  <c r="E20"/>
  <c r="E21"/>
  <c r="E22"/>
  <c r="E23"/>
  <c r="E24"/>
  <c r="D16" i="3"/>
  <c r="D17"/>
  <c r="D18"/>
  <c r="D19"/>
  <c r="D20"/>
  <c r="D21"/>
  <c r="D22"/>
  <c r="D23"/>
  <c r="D24"/>
  <c r="K17" i="4"/>
  <c r="K18"/>
  <c r="K19"/>
  <c r="K20"/>
  <c r="K21"/>
  <c r="K22"/>
  <c r="K23"/>
  <c r="K24"/>
  <c r="K25"/>
  <c r="U12"/>
  <c r="U13"/>
  <c r="U14"/>
  <c r="V12"/>
  <c r="V13"/>
  <c r="V14"/>
  <c r="V11"/>
  <c r="W12"/>
  <c r="X12"/>
  <c r="W13"/>
  <c r="X13"/>
  <c r="W14"/>
  <c r="X14"/>
  <c r="X11"/>
  <c r="W11"/>
  <c r="Z18" i="1"/>
  <c r="Z19"/>
  <c r="Z20"/>
  <c r="Z21"/>
  <c r="Z22"/>
  <c r="Z23"/>
  <c r="Z24"/>
  <c r="Z25"/>
  <c r="Z26"/>
  <c r="Z27"/>
  <c r="Z28"/>
  <c r="Z29"/>
  <c r="Z30"/>
  <c r="Z31"/>
  <c r="Z17"/>
  <c r="J21" i="8" l="1"/>
  <c r="D12" i="9"/>
  <c r="H12" s="1"/>
  <c r="T12" s="1"/>
  <c r="C12"/>
  <c r="E12"/>
  <c r="J31" i="8"/>
  <c r="D22" i="9"/>
  <c r="H22" s="1"/>
  <c r="T22" s="1"/>
  <c r="C22"/>
  <c r="E22"/>
  <c r="J29" i="8"/>
  <c r="C20" i="9"/>
  <c r="E20"/>
  <c r="D20"/>
  <c r="H20" s="1"/>
  <c r="T20" s="1"/>
  <c r="J27" i="8"/>
  <c r="C18" i="9"/>
  <c r="E18"/>
  <c r="D18"/>
  <c r="H18" s="1"/>
  <c r="T18" s="1"/>
  <c r="J25" i="8"/>
  <c r="D16" i="9"/>
  <c r="H16" s="1"/>
  <c r="T16" s="1"/>
  <c r="C16"/>
  <c r="E16"/>
  <c r="J23" i="8"/>
  <c r="D14" i="9"/>
  <c r="H14" s="1"/>
  <c r="T14" s="1"/>
  <c r="C14"/>
  <c r="E14"/>
  <c r="J30" i="8"/>
  <c r="D21" i="9"/>
  <c r="H21" s="1"/>
  <c r="T21" s="1"/>
  <c r="C21"/>
  <c r="E21"/>
  <c r="J28" i="8"/>
  <c r="D19" i="9"/>
  <c r="H19" s="1"/>
  <c r="T19" s="1"/>
  <c r="C19"/>
  <c r="E19"/>
  <c r="J26" i="8"/>
  <c r="D17" i="9"/>
  <c r="H17" s="1"/>
  <c r="T17" s="1"/>
  <c r="C17"/>
  <c r="E17"/>
  <c r="J24" i="8"/>
  <c r="D15" i="9"/>
  <c r="H15" s="1"/>
  <c r="T15" s="1"/>
  <c r="C15"/>
  <c r="E15"/>
  <c r="J22" i="8"/>
  <c r="D13" i="9"/>
  <c r="H13" s="1"/>
  <c r="T13" s="1"/>
  <c r="C13"/>
  <c r="E13"/>
  <c r="C11"/>
  <c r="E11"/>
  <c r="D11"/>
  <c r="H11" s="1"/>
  <c r="T11" s="1"/>
  <c r="J19" i="8"/>
  <c r="C10" i="9"/>
  <c r="E10"/>
  <c r="D10"/>
  <c r="H10" s="1"/>
  <c r="T10" s="1"/>
  <c r="C9"/>
  <c r="E9"/>
  <c r="D9"/>
  <c r="H9" s="1"/>
  <c r="G11" i="3"/>
  <c r="G16"/>
  <c r="G17"/>
  <c r="G18"/>
  <c r="G19"/>
  <c r="G20"/>
  <c r="G21"/>
  <c r="G22"/>
  <c r="G23"/>
  <c r="G24"/>
  <c r="G12" i="4"/>
  <c r="G13"/>
  <c r="G14"/>
  <c r="G17"/>
  <c r="G18"/>
  <c r="G19"/>
  <c r="G20"/>
  <c r="G21"/>
  <c r="G22"/>
  <c r="G23"/>
  <c r="G24"/>
  <c r="G25"/>
  <c r="A12"/>
  <c r="A13"/>
  <c r="A14"/>
  <c r="A15"/>
  <c r="A16"/>
  <c r="A17"/>
  <c r="A18"/>
  <c r="A19"/>
  <c r="A20"/>
  <c r="A21"/>
  <c r="A22"/>
  <c r="A23"/>
  <c r="A24"/>
  <c r="A25"/>
  <c r="A11"/>
  <c r="G11" i="7"/>
  <c r="G12"/>
  <c r="G13"/>
  <c r="G16"/>
  <c r="G17"/>
  <c r="G18"/>
  <c r="G19"/>
  <c r="G20"/>
  <c r="G21"/>
  <c r="G22"/>
  <c r="G23"/>
  <c r="G24"/>
  <c r="E16"/>
  <c r="E17"/>
  <c r="E18"/>
  <c r="E19"/>
  <c r="E20"/>
  <c r="E21"/>
  <c r="E22"/>
  <c r="E23"/>
  <c r="E24"/>
  <c r="B16"/>
  <c r="B17"/>
  <c r="B18"/>
  <c r="B19"/>
  <c r="B20"/>
  <c r="B21"/>
  <c r="B22"/>
  <c r="B23"/>
  <c r="B24"/>
  <c r="A11"/>
  <c r="A12"/>
  <c r="A13"/>
  <c r="A14"/>
  <c r="A15"/>
  <c r="A16"/>
  <c r="A17"/>
  <c r="A18"/>
  <c r="A19"/>
  <c r="A20"/>
  <c r="A21"/>
  <c r="A22"/>
  <c r="A23"/>
  <c r="A24"/>
  <c r="G11" i="5"/>
  <c r="G12"/>
  <c r="G13"/>
  <c r="G16"/>
  <c r="G17"/>
  <c r="G18"/>
  <c r="G19"/>
  <c r="G20"/>
  <c r="G21"/>
  <c r="G22"/>
  <c r="G23"/>
  <c r="G24"/>
  <c r="B16"/>
  <c r="B17"/>
  <c r="B18"/>
  <c r="B19"/>
  <c r="B20"/>
  <c r="B21"/>
  <c r="B22"/>
  <c r="B23"/>
  <c r="B24"/>
  <c r="A11"/>
  <c r="A12"/>
  <c r="A13"/>
  <c r="A14"/>
  <c r="A15"/>
  <c r="A16"/>
  <c r="A17"/>
  <c r="A18"/>
  <c r="A19"/>
  <c r="A20"/>
  <c r="A21"/>
  <c r="A22"/>
  <c r="A23"/>
  <c r="A24"/>
  <c r="E18" i="2"/>
  <c r="E19"/>
  <c r="E20"/>
  <c r="E21"/>
  <c r="E22"/>
  <c r="E23"/>
  <c r="E24"/>
  <c r="E25"/>
  <c r="E26"/>
  <c r="E27"/>
  <c r="E28"/>
  <c r="E29"/>
  <c r="E30"/>
  <c r="E31"/>
  <c r="C18"/>
  <c r="C19"/>
  <c r="C20"/>
  <c r="C21"/>
  <c r="C22"/>
  <c r="C23"/>
  <c r="C24"/>
  <c r="C25"/>
  <c r="C26"/>
  <c r="C27"/>
  <c r="C28"/>
  <c r="C29"/>
  <c r="C30"/>
  <c r="C31"/>
  <c r="G11" i="9" l="1"/>
  <c r="R11" s="1"/>
  <c r="F11"/>
  <c r="K11"/>
  <c r="P11" s="1"/>
  <c r="J11"/>
  <c r="F13"/>
  <c r="G13"/>
  <c r="R13" s="1"/>
  <c r="K13"/>
  <c r="P13" s="1"/>
  <c r="J13"/>
  <c r="F15"/>
  <c r="G15"/>
  <c r="R15" s="1"/>
  <c r="K15"/>
  <c r="P15" s="1"/>
  <c r="J15"/>
  <c r="F17"/>
  <c r="G17"/>
  <c r="R17" s="1"/>
  <c r="K17"/>
  <c r="P17" s="1"/>
  <c r="J17"/>
  <c r="F19"/>
  <c r="J19"/>
  <c r="G19"/>
  <c r="R19" s="1"/>
  <c r="K19"/>
  <c r="P19" s="1"/>
  <c r="F21"/>
  <c r="G21"/>
  <c r="R21" s="1"/>
  <c r="K21"/>
  <c r="P21" s="1"/>
  <c r="J21"/>
  <c r="G14"/>
  <c r="R14" s="1"/>
  <c r="K14"/>
  <c r="P14" s="1"/>
  <c r="J14"/>
  <c r="F14"/>
  <c r="K16"/>
  <c r="P16" s="1"/>
  <c r="G16"/>
  <c r="R16" s="1"/>
  <c r="F16"/>
  <c r="J16"/>
  <c r="F22"/>
  <c r="J22"/>
  <c r="G22"/>
  <c r="R22" s="1"/>
  <c r="K22"/>
  <c r="P22" s="1"/>
  <c r="F12"/>
  <c r="G12"/>
  <c r="R12" s="1"/>
  <c r="K12"/>
  <c r="P12" s="1"/>
  <c r="J12"/>
  <c r="G18"/>
  <c r="R18" s="1"/>
  <c r="K18"/>
  <c r="P18" s="1"/>
  <c r="J18"/>
  <c r="F18"/>
  <c r="K20"/>
  <c r="P20" s="1"/>
  <c r="G20"/>
  <c r="R20" s="1"/>
  <c r="F20"/>
  <c r="J20"/>
  <c r="G10"/>
  <c r="R10" s="1"/>
  <c r="F10"/>
  <c r="J10"/>
  <c r="K10"/>
  <c r="P10" s="1"/>
  <c r="K9"/>
  <c r="P9" s="1"/>
  <c r="G9"/>
  <c r="J9"/>
  <c r="F9"/>
  <c r="M9" s="1"/>
  <c r="T9"/>
  <c r="E17" i="2"/>
  <c r="C17"/>
  <c r="N20" i="9" l="1"/>
  <c r="I20"/>
  <c r="M18"/>
  <c r="U18" s="1"/>
  <c r="L18"/>
  <c r="M12"/>
  <c r="U12" s="1"/>
  <c r="L12"/>
  <c r="M22"/>
  <c r="U22" s="1"/>
  <c r="L22"/>
  <c r="M16"/>
  <c r="U16" s="1"/>
  <c r="L16"/>
  <c r="N14"/>
  <c r="I14"/>
  <c r="M21"/>
  <c r="U21" s="1"/>
  <c r="L21"/>
  <c r="L19"/>
  <c r="M19"/>
  <c r="U19" s="1"/>
  <c r="L17"/>
  <c r="M17"/>
  <c r="U17" s="1"/>
  <c r="M15"/>
  <c r="U15" s="1"/>
  <c r="L15"/>
  <c r="M13"/>
  <c r="U13" s="1"/>
  <c r="L13"/>
  <c r="S22"/>
  <c r="S19"/>
  <c r="M20"/>
  <c r="U20" s="1"/>
  <c r="L20"/>
  <c r="S20" s="1"/>
  <c r="N18"/>
  <c r="Q18" s="1"/>
  <c r="V18" s="1"/>
  <c r="I18"/>
  <c r="I12"/>
  <c r="N12"/>
  <c r="Q12" s="1"/>
  <c r="V12" s="1"/>
  <c r="N22"/>
  <c r="I22"/>
  <c r="N16"/>
  <c r="Q16" s="1"/>
  <c r="V16" s="1"/>
  <c r="I16"/>
  <c r="M14"/>
  <c r="U14" s="1"/>
  <c r="L14"/>
  <c r="S14" s="1"/>
  <c r="I21"/>
  <c r="N21"/>
  <c r="Q21" s="1"/>
  <c r="V21" s="1"/>
  <c r="I19"/>
  <c r="N19"/>
  <c r="I17"/>
  <c r="N17"/>
  <c r="Q17" s="1"/>
  <c r="V17" s="1"/>
  <c r="I15"/>
  <c r="N15"/>
  <c r="Q15" s="1"/>
  <c r="V15" s="1"/>
  <c r="N13"/>
  <c r="Q13" s="1"/>
  <c r="V13" s="1"/>
  <c r="I13"/>
  <c r="I11"/>
  <c r="N11"/>
  <c r="Q11" s="1"/>
  <c r="M11"/>
  <c r="U11" s="1"/>
  <c r="L11"/>
  <c r="S11" s="1"/>
  <c r="Q20"/>
  <c r="S18"/>
  <c r="S12"/>
  <c r="Q22"/>
  <c r="V22" s="1"/>
  <c r="S16"/>
  <c r="Q14"/>
  <c r="S21"/>
  <c r="Q19"/>
  <c r="V19" s="1"/>
  <c r="S17"/>
  <c r="S15"/>
  <c r="S13"/>
  <c r="I10"/>
  <c r="N10"/>
  <c r="Q10" s="1"/>
  <c r="M10"/>
  <c r="U10" s="1"/>
  <c r="L10"/>
  <c r="S10" s="1"/>
  <c r="R9"/>
  <c r="N9"/>
  <c r="Q9" s="1"/>
  <c r="I9"/>
  <c r="L9"/>
  <c r="U9"/>
  <c r="D18" i="2"/>
  <c r="D19"/>
  <c r="D20"/>
  <c r="D21"/>
  <c r="D22"/>
  <c r="D23"/>
  <c r="D24"/>
  <c r="D25"/>
  <c r="D26"/>
  <c r="D27"/>
  <c r="D28"/>
  <c r="D29"/>
  <c r="D30"/>
  <c r="D31"/>
  <c r="B18"/>
  <c r="B19"/>
  <c r="B20"/>
  <c r="B21"/>
  <c r="B22"/>
  <c r="B23"/>
  <c r="B24"/>
  <c r="B25"/>
  <c r="B26"/>
  <c r="B27"/>
  <c r="B28"/>
  <c r="B29"/>
  <c r="B30"/>
  <c r="B31"/>
  <c r="B17"/>
  <c r="V11" i="9" l="1"/>
  <c r="V14"/>
  <c r="V20"/>
  <c r="V10"/>
  <c r="S9"/>
  <c r="V9" s="1"/>
  <c r="V18" i="1"/>
  <c r="V19"/>
  <c r="V20"/>
  <c r="B20" i="8" s="1"/>
  <c r="V21" i="1"/>
  <c r="V22"/>
  <c r="V23"/>
  <c r="V24"/>
  <c r="V25"/>
  <c r="V26"/>
  <c r="V27"/>
  <c r="V28"/>
  <c r="V29"/>
  <c r="V30"/>
  <c r="V31"/>
  <c r="V17"/>
  <c r="X18"/>
  <c r="X19"/>
  <c r="X20"/>
  <c r="X21"/>
  <c r="X22"/>
  <c r="X23"/>
  <c r="X24"/>
  <c r="X25"/>
  <c r="X26"/>
  <c r="X27"/>
  <c r="X28"/>
  <c r="X29"/>
  <c r="X30"/>
  <c r="X31"/>
  <c r="W18"/>
  <c r="E18" i="10" s="1"/>
  <c r="W19" i="1"/>
  <c r="E19" i="10" s="1"/>
  <c r="W20" i="1"/>
  <c r="F20" i="10" s="1"/>
  <c r="W21" i="1"/>
  <c r="E21" i="10" s="1"/>
  <c r="W22" i="1"/>
  <c r="F22" i="10" s="1"/>
  <c r="W23" i="1"/>
  <c r="E23" i="10" s="1"/>
  <c r="W24" i="1"/>
  <c r="F24" i="10" s="1"/>
  <c r="W25" i="1"/>
  <c r="E25" i="10" s="1"/>
  <c r="W26" i="1"/>
  <c r="F26" i="10" s="1"/>
  <c r="W27" i="1"/>
  <c r="E27" i="10" s="1"/>
  <c r="W28" i="1"/>
  <c r="F28" i="10" s="1"/>
  <c r="W29" i="1"/>
  <c r="E29" i="10" s="1"/>
  <c r="W30" i="1"/>
  <c r="F30" i="10" s="1"/>
  <c r="W31" i="1"/>
  <c r="E31" i="10" s="1"/>
  <c r="X17" i="1"/>
  <c r="W17"/>
  <c r="AK21" i="15" l="1"/>
  <c r="AR21" i="12"/>
  <c r="AO21" i="13"/>
  <c r="AK17" i="15"/>
  <c r="AR17" i="12"/>
  <c r="AO17" i="13"/>
  <c r="AK13" i="15"/>
  <c r="AR13" i="12"/>
  <c r="AO13" i="13"/>
  <c r="AK11" i="15"/>
  <c r="AR11" i="12"/>
  <c r="AO11" i="13"/>
  <c r="AK9" i="15"/>
  <c r="AR9" i="12"/>
  <c r="AO9" i="13"/>
  <c r="AK10" i="12"/>
  <c r="AL10" s="1"/>
  <c r="AD10" i="15"/>
  <c r="AE10" s="1"/>
  <c r="AH10" i="13"/>
  <c r="AI10" s="1"/>
  <c r="AK19" i="15"/>
  <c r="AR19" i="12"/>
  <c r="AO19" i="13"/>
  <c r="AK15" i="15"/>
  <c r="AR15" i="12"/>
  <c r="AO15" i="13"/>
  <c r="AG20" i="15"/>
  <c r="AN20" i="12"/>
  <c r="AK20" i="13"/>
  <c r="AG18" i="15"/>
  <c r="AN18" i="12"/>
  <c r="AK18" i="13"/>
  <c r="AG16" i="15"/>
  <c r="AN16" i="12"/>
  <c r="AK16" i="13"/>
  <c r="AG14" i="15"/>
  <c r="AN14" i="12"/>
  <c r="AK14" i="13"/>
  <c r="AG12" i="15"/>
  <c r="AN12" i="12"/>
  <c r="AK12" i="13"/>
  <c r="AG10" i="15"/>
  <c r="AN10" i="12"/>
  <c r="AK10" i="13"/>
  <c r="AR8" i="12"/>
  <c r="AK8" i="15"/>
  <c r="AO8" i="13"/>
  <c r="BR20" i="12"/>
  <c r="BR18"/>
  <c r="BR16"/>
  <c r="BR14"/>
  <c r="BR12"/>
  <c r="BR10"/>
  <c r="E31" i="8"/>
  <c r="C31"/>
  <c r="D31"/>
  <c r="B31"/>
  <c r="E29"/>
  <c r="C29"/>
  <c r="D29"/>
  <c r="B29"/>
  <c r="E27"/>
  <c r="C27"/>
  <c r="D27"/>
  <c r="B27"/>
  <c r="E25"/>
  <c r="C25"/>
  <c r="D25"/>
  <c r="B25"/>
  <c r="E23"/>
  <c r="C23"/>
  <c r="D23"/>
  <c r="B23"/>
  <c r="B31" i="10"/>
  <c r="B29"/>
  <c r="B27"/>
  <c r="B25"/>
  <c r="B23"/>
  <c r="D30"/>
  <c r="D28"/>
  <c r="D26"/>
  <c r="D24"/>
  <c r="C31"/>
  <c r="C29"/>
  <c r="C27"/>
  <c r="C25"/>
  <c r="C23"/>
  <c r="E30"/>
  <c r="E28"/>
  <c r="E26"/>
  <c r="E24"/>
  <c r="F31"/>
  <c r="F29"/>
  <c r="F27"/>
  <c r="F25"/>
  <c r="F23"/>
  <c r="D30" i="8"/>
  <c r="B30"/>
  <c r="E30"/>
  <c r="C30"/>
  <c r="D28"/>
  <c r="B28"/>
  <c r="E28"/>
  <c r="C28"/>
  <c r="D26"/>
  <c r="B26"/>
  <c r="E26"/>
  <c r="C26"/>
  <c r="D24"/>
  <c r="B24"/>
  <c r="E24"/>
  <c r="C24"/>
  <c r="F17" i="10"/>
  <c r="AG7" i="15" s="1"/>
  <c r="B30" i="10"/>
  <c r="B28"/>
  <c r="B26"/>
  <c r="B24"/>
  <c r="D31"/>
  <c r="D29"/>
  <c r="D27"/>
  <c r="D25"/>
  <c r="D23"/>
  <c r="C30"/>
  <c r="C28"/>
  <c r="C26"/>
  <c r="C24"/>
  <c r="E22" i="8"/>
  <c r="D22"/>
  <c r="C22"/>
  <c r="B22"/>
  <c r="B22" i="10"/>
  <c r="D22"/>
  <c r="C22"/>
  <c r="E22"/>
  <c r="E21" i="8"/>
  <c r="D21"/>
  <c r="C21"/>
  <c r="B21"/>
  <c r="E19"/>
  <c r="D19"/>
  <c r="C19"/>
  <c r="B19"/>
  <c r="B21" i="10"/>
  <c r="C21"/>
  <c r="F21"/>
  <c r="E20" i="8"/>
  <c r="J20" s="1"/>
  <c r="D20"/>
  <c r="C20"/>
  <c r="E18"/>
  <c r="J18" s="1"/>
  <c r="D18"/>
  <c r="C18"/>
  <c r="B18"/>
  <c r="D21" i="10"/>
  <c r="M31"/>
  <c r="K31"/>
  <c r="K29"/>
  <c r="M27"/>
  <c r="K27"/>
  <c r="K25"/>
  <c r="M23"/>
  <c r="K23"/>
  <c r="N30"/>
  <c r="L28"/>
  <c r="N28"/>
  <c r="N26"/>
  <c r="L24"/>
  <c r="N24"/>
  <c r="L22"/>
  <c r="M30"/>
  <c r="K30"/>
  <c r="M28"/>
  <c r="M26"/>
  <c r="K26"/>
  <c r="M24"/>
  <c r="M22"/>
  <c r="N31"/>
  <c r="L31"/>
  <c r="L29"/>
  <c r="N27"/>
  <c r="L27"/>
  <c r="L25"/>
  <c r="N23"/>
  <c r="L23"/>
  <c r="D17" i="8"/>
  <c r="B17"/>
  <c r="E17"/>
  <c r="J17" s="1"/>
  <c r="C17"/>
  <c r="B20" i="10"/>
  <c r="D20"/>
  <c r="C20"/>
  <c r="E20"/>
  <c r="B19"/>
  <c r="C19"/>
  <c r="F19"/>
  <c r="D19"/>
  <c r="B17"/>
  <c r="AH7" i="15" s="1"/>
  <c r="D17" i="10"/>
  <c r="AJ7" i="15" s="1"/>
  <c r="C17" i="10"/>
  <c r="AI7" i="15" s="1"/>
  <c r="E17" i="10"/>
  <c r="AK7" i="15" s="1"/>
  <c r="B18" i="10"/>
  <c r="C18"/>
  <c r="F18"/>
  <c r="D18"/>
  <c r="C8" i="9"/>
  <c r="G8" s="1"/>
  <c r="D8"/>
  <c r="O21" i="2"/>
  <c r="O22"/>
  <c r="O23"/>
  <c r="O24"/>
  <c r="O25"/>
  <c r="O26"/>
  <c r="O27"/>
  <c r="O28"/>
  <c r="O29"/>
  <c r="O30"/>
  <c r="O31"/>
  <c r="O32"/>
  <c r="E32" i="9"/>
  <c r="C35" i="4"/>
  <c r="D34" i="7"/>
  <c r="D34" i="5"/>
  <c r="D36" i="3"/>
  <c r="E37" i="8"/>
  <c r="D12" i="10"/>
  <c r="D14"/>
  <c r="F11" i="8"/>
  <c r="D38" i="10"/>
  <c r="A18"/>
  <c r="A19"/>
  <c r="A20"/>
  <c r="A21"/>
  <c r="A22"/>
  <c r="A23"/>
  <c r="A24"/>
  <c r="A25"/>
  <c r="A26"/>
  <c r="A27"/>
  <c r="A28"/>
  <c r="A29"/>
  <c r="A30"/>
  <c r="A31"/>
  <c r="D38" i="2"/>
  <c r="E11"/>
  <c r="A30"/>
  <c r="A31"/>
  <c r="A18"/>
  <c r="A19"/>
  <c r="A20"/>
  <c r="A21"/>
  <c r="A22"/>
  <c r="A23"/>
  <c r="A24"/>
  <c r="A25"/>
  <c r="A26"/>
  <c r="A27"/>
  <c r="A28"/>
  <c r="A29"/>
  <c r="AN8" i="13" l="1"/>
  <c r="AQ8" i="12"/>
  <c r="AJ8" i="15"/>
  <c r="AP8" i="12"/>
  <c r="AI8" i="15"/>
  <c r="AM8" i="13"/>
  <c r="AQ9" i="12"/>
  <c r="AN9" i="13"/>
  <c r="AJ9" i="15"/>
  <c r="AI9"/>
  <c r="AP9" i="12"/>
  <c r="AM9" i="13"/>
  <c r="AK10" i="15"/>
  <c r="AR10" i="12"/>
  <c r="AO10" i="13"/>
  <c r="AQ10" i="12"/>
  <c r="AN10" i="13"/>
  <c r="AJ10" i="15"/>
  <c r="AQ11" i="12"/>
  <c r="AN11" i="13"/>
  <c r="AJ11" i="15"/>
  <c r="AG11"/>
  <c r="AN11" i="12"/>
  <c r="AK11" i="13"/>
  <c r="AO11" i="12"/>
  <c r="AL11" i="13"/>
  <c r="AH11" i="15"/>
  <c r="AI12"/>
  <c r="AP12" i="12"/>
  <c r="AM12" i="13"/>
  <c r="AO12" i="12"/>
  <c r="AH12" i="15"/>
  <c r="AL12" i="13"/>
  <c r="AI16" i="15"/>
  <c r="AP16" i="12"/>
  <c r="AM16" i="13"/>
  <c r="AI20" i="15"/>
  <c r="AP20" i="12"/>
  <c r="AM20" i="13"/>
  <c r="N25" i="10"/>
  <c r="AQ15" i="12"/>
  <c r="AJ15" i="15"/>
  <c r="AN15" i="13"/>
  <c r="N29" i="10"/>
  <c r="AQ19" i="12"/>
  <c r="AJ19" i="15"/>
  <c r="AN19" i="13"/>
  <c r="K24" i="10"/>
  <c r="AO14" i="12"/>
  <c r="AH14" i="15"/>
  <c r="AL14" i="13"/>
  <c r="K28" i="10"/>
  <c r="AO18" i="12"/>
  <c r="AH18" i="15"/>
  <c r="AL18" i="13"/>
  <c r="AG15" i="15"/>
  <c r="AN15" i="12"/>
  <c r="AK15" i="13"/>
  <c r="AG19" i="15"/>
  <c r="AN19" i="12"/>
  <c r="AK19" i="13"/>
  <c r="AK14" i="15"/>
  <c r="AR14" i="12"/>
  <c r="AO14" i="13"/>
  <c r="AK18" i="15"/>
  <c r="AR18" i="12"/>
  <c r="AO18" i="13"/>
  <c r="AI13" i="15"/>
  <c r="AP13" i="12"/>
  <c r="AM13" i="13"/>
  <c r="AI17" i="15"/>
  <c r="AP17" i="12"/>
  <c r="AM17" i="13"/>
  <c r="AI21" i="15"/>
  <c r="AP21" i="12"/>
  <c r="AM21" i="13"/>
  <c r="L26" i="10"/>
  <c r="AQ16" i="12"/>
  <c r="AJ16" i="15"/>
  <c r="AN16" i="13"/>
  <c r="L30" i="10"/>
  <c r="AQ20" i="12"/>
  <c r="AJ20" i="15"/>
  <c r="AN20" i="13"/>
  <c r="M25" i="10"/>
  <c r="AO15" i="12"/>
  <c r="AH15" i="15"/>
  <c r="AL15" i="13"/>
  <c r="M29" i="10"/>
  <c r="AO19" i="12"/>
  <c r="AH19" i="15"/>
  <c r="AL19" i="13"/>
  <c r="AK13" i="12"/>
  <c r="AL13" s="1"/>
  <c r="AD13" i="15"/>
  <c r="AE13" s="1"/>
  <c r="AH13" i="13"/>
  <c r="AI13" s="1"/>
  <c r="AK15" i="12"/>
  <c r="AL15" s="1"/>
  <c r="AD15" i="15"/>
  <c r="AE15" s="1"/>
  <c r="AH15" i="13"/>
  <c r="AI15" s="1"/>
  <c r="AK17" i="12"/>
  <c r="AL17" s="1"/>
  <c r="AD17" i="15"/>
  <c r="AE17" s="1"/>
  <c r="AH17" i="13"/>
  <c r="AI17" s="1"/>
  <c r="AK19" i="12"/>
  <c r="AL19" s="1"/>
  <c r="AD19" i="15"/>
  <c r="AE19" s="1"/>
  <c r="AH19" i="13"/>
  <c r="AI19" s="1"/>
  <c r="AK21" i="12"/>
  <c r="AL21" s="1"/>
  <c r="AD21" i="15"/>
  <c r="AE21" s="1"/>
  <c r="AH21" i="13"/>
  <c r="AI21" s="1"/>
  <c r="AN8" i="12"/>
  <c r="AG8" i="15"/>
  <c r="AK8" i="13"/>
  <c r="AL8"/>
  <c r="AO8" i="12"/>
  <c r="AH8" i="15"/>
  <c r="AG9"/>
  <c r="AN9" i="12"/>
  <c r="AK9" i="13"/>
  <c r="AO9" i="12"/>
  <c r="AL9" i="13"/>
  <c r="AH9" i="15"/>
  <c r="AI10"/>
  <c r="AP10" i="12"/>
  <c r="AM10" i="13"/>
  <c r="AO10" i="12"/>
  <c r="AL10" i="13"/>
  <c r="AH10" i="15"/>
  <c r="AK8" i="12"/>
  <c r="AL8" s="1"/>
  <c r="AD8" i="15"/>
  <c r="AE8" s="1"/>
  <c r="AH8" i="13"/>
  <c r="AI8" s="1"/>
  <c r="AI11" i="15"/>
  <c r="AP11" i="12"/>
  <c r="AM11" i="13"/>
  <c r="AK9" i="12"/>
  <c r="AL9" s="1"/>
  <c r="AD9" i="15"/>
  <c r="AE9" s="1"/>
  <c r="AH9" i="13"/>
  <c r="AI9" s="1"/>
  <c r="AK11" i="12"/>
  <c r="AL11" s="1"/>
  <c r="AD11" i="15"/>
  <c r="AE11" s="1"/>
  <c r="AH11" i="13"/>
  <c r="AI11" s="1"/>
  <c r="AK12" i="15"/>
  <c r="AR12" i="12"/>
  <c r="AO12" i="13"/>
  <c r="AQ12" i="12"/>
  <c r="AJ12" i="15"/>
  <c r="AN12" i="13"/>
  <c r="AK12" i="12"/>
  <c r="AL12" s="1"/>
  <c r="AD12" i="15"/>
  <c r="AE12" s="1"/>
  <c r="AH12" i="13"/>
  <c r="AI12" s="1"/>
  <c r="AI14" i="15"/>
  <c r="AP14" i="12"/>
  <c r="AM14" i="13"/>
  <c r="AI18" i="15"/>
  <c r="AP18" i="12"/>
  <c r="AM18" i="13"/>
  <c r="AQ13" i="12"/>
  <c r="AJ13" i="15"/>
  <c r="AN13" i="13"/>
  <c r="AQ17" i="12"/>
  <c r="AJ17" i="15"/>
  <c r="AN17" i="13"/>
  <c r="AQ21" i="12"/>
  <c r="AJ21" i="15"/>
  <c r="AN21" i="13"/>
  <c r="AO16" i="12"/>
  <c r="AH16" i="15"/>
  <c r="AL16" i="13"/>
  <c r="AO20" i="12"/>
  <c r="AH20" i="15"/>
  <c r="AL20" i="13"/>
  <c r="AK14" i="12"/>
  <c r="AL14" s="1"/>
  <c r="AD14" i="15"/>
  <c r="AE14" s="1"/>
  <c r="AH14" i="13"/>
  <c r="AI14" s="1"/>
  <c r="AK16" i="12"/>
  <c r="AL16" s="1"/>
  <c r="AD16" i="15"/>
  <c r="AE16" s="1"/>
  <c r="AH16" i="13"/>
  <c r="AI16" s="1"/>
  <c r="AK18" i="12"/>
  <c r="AL18" s="1"/>
  <c r="AD18" i="15"/>
  <c r="AE18" s="1"/>
  <c r="AH18" i="13"/>
  <c r="AI18" s="1"/>
  <c r="AK20" i="12"/>
  <c r="AL20" s="1"/>
  <c r="AD20" i="15"/>
  <c r="AE20" s="1"/>
  <c r="AH20" i="13"/>
  <c r="AI20" s="1"/>
  <c r="AG13" i="15"/>
  <c r="AN13" i="12"/>
  <c r="BR13" s="1"/>
  <c r="AK13" i="13"/>
  <c r="AG17" i="15"/>
  <c r="AN17" i="12"/>
  <c r="AK17" i="13"/>
  <c r="AG21" i="15"/>
  <c r="AN21" i="12"/>
  <c r="BR21" s="1"/>
  <c r="AK21" i="13"/>
  <c r="AK16" i="15"/>
  <c r="AR16" i="12"/>
  <c r="AO16" i="13"/>
  <c r="AK20" i="15"/>
  <c r="AR20" i="12"/>
  <c r="AO20" i="13"/>
  <c r="AI15" i="15"/>
  <c r="AP15" i="12"/>
  <c r="AM15" i="13"/>
  <c r="AI19" i="15"/>
  <c r="AP19" i="12"/>
  <c r="AM19" i="13"/>
  <c r="AQ14" i="12"/>
  <c r="AJ14" i="15"/>
  <c r="AN14" i="13"/>
  <c r="AQ18" i="12"/>
  <c r="AJ18" i="15"/>
  <c r="AN18" i="13"/>
  <c r="AO13" i="12"/>
  <c r="AH13" i="15"/>
  <c r="AL13" i="13"/>
  <c r="AO17" i="12"/>
  <c r="AH17" i="15"/>
  <c r="AL17" i="13"/>
  <c r="AO21" i="12"/>
  <c r="AH21" i="15"/>
  <c r="AL21" i="13"/>
  <c r="J8" i="9"/>
  <c r="I8" s="1"/>
  <c r="K8"/>
  <c r="P8" s="1"/>
  <c r="BN10" i="12"/>
  <c r="BP10"/>
  <c r="BQ10" s="1"/>
  <c r="BO10"/>
  <c r="H8" i="9"/>
  <c r="T8" s="1"/>
  <c r="BR17" i="12"/>
  <c r="BR9"/>
  <c r="BR11"/>
  <c r="BR15"/>
  <c r="BR19"/>
  <c r="BR8"/>
  <c r="AD7" i="15"/>
  <c r="AE7" s="1"/>
  <c r="N21" i="10"/>
  <c r="AP7" i="12"/>
  <c r="AM7" i="13"/>
  <c r="AL7"/>
  <c r="AO7" i="12"/>
  <c r="AR7"/>
  <c r="AO7" i="13"/>
  <c r="AN7"/>
  <c r="AQ7" i="12"/>
  <c r="K22" i="10"/>
  <c r="AK7" i="13"/>
  <c r="AN7" i="12"/>
  <c r="BR7" s="1"/>
  <c r="N22" i="10"/>
  <c r="L21"/>
  <c r="K21"/>
  <c r="M21"/>
  <c r="AH7" i="13"/>
  <c r="AI7" s="1"/>
  <c r="AK7" i="12"/>
  <c r="M18" i="10"/>
  <c r="K18"/>
  <c r="M20"/>
  <c r="K20"/>
  <c r="M19"/>
  <c r="K19"/>
  <c r="H43" i="1"/>
  <c r="N19" i="10"/>
  <c r="L19"/>
  <c r="N18"/>
  <c r="L18"/>
  <c r="N20"/>
  <c r="L20"/>
  <c r="K17"/>
  <c r="M17"/>
  <c r="N17"/>
  <c r="L17"/>
  <c r="A17"/>
  <c r="A17" i="2"/>
  <c r="F3" i="5"/>
  <c r="A10" i="7"/>
  <c r="A10" i="5"/>
  <c r="C2" i="9"/>
  <c r="E4" i="4"/>
  <c r="B4"/>
  <c r="E2" i="7"/>
  <c r="B2"/>
  <c r="B3" i="5"/>
  <c r="F5" i="3"/>
  <c r="B5"/>
  <c r="B16"/>
  <c r="B17"/>
  <c r="B18"/>
  <c r="B19"/>
  <c r="B20"/>
  <c r="B21"/>
  <c r="B22"/>
  <c r="B23"/>
  <c r="B24"/>
  <c r="A11"/>
  <c r="A12"/>
  <c r="A13"/>
  <c r="A14"/>
  <c r="A15"/>
  <c r="A16"/>
  <c r="A17"/>
  <c r="A18"/>
  <c r="A19"/>
  <c r="A20"/>
  <c r="A21"/>
  <c r="A22"/>
  <c r="A23"/>
  <c r="A24"/>
  <c r="R8" i="9" l="1"/>
  <c r="BN8" i="12"/>
  <c r="BP8"/>
  <c r="BQ8" s="1"/>
  <c r="BO8"/>
  <c r="BN21"/>
  <c r="BP21"/>
  <c r="BQ21" s="1"/>
  <c r="BO21"/>
  <c r="BN19"/>
  <c r="BP19"/>
  <c r="BQ19" s="1"/>
  <c r="BO19"/>
  <c r="BN17"/>
  <c r="BP17"/>
  <c r="BQ17" s="1"/>
  <c r="BO17"/>
  <c r="BO13"/>
  <c r="BN13"/>
  <c r="BP13"/>
  <c r="BQ13" s="1"/>
  <c r="BO20"/>
  <c r="BN20"/>
  <c r="BP20"/>
  <c r="BQ20" s="1"/>
  <c r="BO18"/>
  <c r="BN18"/>
  <c r="BP18"/>
  <c r="BQ18" s="1"/>
  <c r="BN14"/>
  <c r="BP14"/>
  <c r="BQ14" s="1"/>
  <c r="BO14"/>
  <c r="BN12"/>
  <c r="BP12"/>
  <c r="BQ12" s="1"/>
  <c r="BO12"/>
  <c r="BO11"/>
  <c r="BN11"/>
  <c r="BP11"/>
  <c r="BQ11" s="1"/>
  <c r="BO9"/>
  <c r="BN9"/>
  <c r="BP9"/>
  <c r="BQ9" s="1"/>
  <c r="BO15"/>
  <c r="BN15"/>
  <c r="BP15"/>
  <c r="BQ15" s="1"/>
  <c r="BN16"/>
  <c r="BP16"/>
  <c r="BQ16" s="1"/>
  <c r="BO16"/>
  <c r="O26" i="9"/>
  <c r="AL7" i="12"/>
  <c r="BN7"/>
  <c r="BO7"/>
  <c r="BR28"/>
  <c r="AN28" s="1"/>
  <c r="D35" i="10"/>
  <c r="D33"/>
  <c r="AN23" i="13" s="1"/>
  <c r="E8" i="9"/>
  <c r="F8" s="1"/>
  <c r="H9" i="1"/>
  <c r="B8" i="9"/>
  <c r="A10" i="3"/>
  <c r="BP7" i="12" l="1"/>
  <c r="BQ7" s="1"/>
  <c r="BQ28" s="1"/>
  <c r="AK28" s="1"/>
  <c r="K34" s="1"/>
  <c r="H42" i="1"/>
  <c r="AN25" i="13"/>
  <c r="M8" i="9"/>
  <c r="L8"/>
  <c r="S8" s="1"/>
  <c r="U8"/>
  <c r="N8"/>
  <c r="Q8" s="1"/>
  <c r="Q11" i="7"/>
  <c r="Q12"/>
  <c r="Q13"/>
  <c r="Q14"/>
  <c r="Q15"/>
  <c r="Q16"/>
  <c r="Q17"/>
  <c r="Q18"/>
  <c r="Q19"/>
  <c r="Q20"/>
  <c r="Q21"/>
  <c r="Q22"/>
  <c r="Q23"/>
  <c r="Q24"/>
  <c r="O11"/>
  <c r="O12"/>
  <c r="O13"/>
  <c r="O14"/>
  <c r="O15"/>
  <c r="O16"/>
  <c r="O17"/>
  <c r="O18"/>
  <c r="O19"/>
  <c r="O20"/>
  <c r="O21"/>
  <c r="O22"/>
  <c r="O23"/>
  <c r="O24"/>
  <c r="N11"/>
  <c r="P11" s="1"/>
  <c r="N12"/>
  <c r="P12" s="1"/>
  <c r="N13"/>
  <c r="N14"/>
  <c r="N15"/>
  <c r="P15" s="1"/>
  <c r="N16"/>
  <c r="P16" s="1"/>
  <c r="N17"/>
  <c r="N18"/>
  <c r="N19"/>
  <c r="P19" s="1"/>
  <c r="N20"/>
  <c r="P20" s="1"/>
  <c r="N21"/>
  <c r="N22"/>
  <c r="N23"/>
  <c r="P23" s="1"/>
  <c r="N24"/>
  <c r="P24" s="1"/>
  <c r="G10"/>
  <c r="Q10" s="1"/>
  <c r="Q11" i="5"/>
  <c r="Q12"/>
  <c r="Q13"/>
  <c r="Q14"/>
  <c r="Q15"/>
  <c r="Q16"/>
  <c r="Q17"/>
  <c r="Q18"/>
  <c r="Q19"/>
  <c r="Q20"/>
  <c r="Q21"/>
  <c r="Q22"/>
  <c r="Q23"/>
  <c r="Q24"/>
  <c r="O11"/>
  <c r="O12"/>
  <c r="O13"/>
  <c r="O14"/>
  <c r="O15"/>
  <c r="O16"/>
  <c r="O17"/>
  <c r="O18"/>
  <c r="O19"/>
  <c r="O20"/>
  <c r="O21"/>
  <c r="O22"/>
  <c r="O23"/>
  <c r="O24"/>
  <c r="N11"/>
  <c r="N12"/>
  <c r="P12" s="1"/>
  <c r="N13"/>
  <c r="P13" s="1"/>
  <c r="N14"/>
  <c r="N15"/>
  <c r="N16"/>
  <c r="P16" s="1"/>
  <c r="N17"/>
  <c r="P17" s="1"/>
  <c r="N18"/>
  <c r="N19"/>
  <c r="N20"/>
  <c r="P20" s="1"/>
  <c r="N21"/>
  <c r="P21" s="1"/>
  <c r="N22"/>
  <c r="N23"/>
  <c r="N24"/>
  <c r="P24" s="1"/>
  <c r="G10"/>
  <c r="Q10" s="1"/>
  <c r="F11" i="3"/>
  <c r="N11" s="1"/>
  <c r="F12"/>
  <c r="M12" s="1"/>
  <c r="F13"/>
  <c r="N13" s="1"/>
  <c r="F16"/>
  <c r="P16" s="1"/>
  <c r="F17"/>
  <c r="P17" s="1"/>
  <c r="F18"/>
  <c r="N18" s="1"/>
  <c r="F19"/>
  <c r="P19" s="1"/>
  <c r="F20"/>
  <c r="P20" s="1"/>
  <c r="F21"/>
  <c r="P21" s="1"/>
  <c r="F22"/>
  <c r="P22" s="1"/>
  <c r="F23"/>
  <c r="P23" s="1"/>
  <c r="F24"/>
  <c r="M24" s="1"/>
  <c r="P11"/>
  <c r="P12"/>
  <c r="P13"/>
  <c r="P14"/>
  <c r="P15"/>
  <c r="P18"/>
  <c r="N12"/>
  <c r="N14"/>
  <c r="N15"/>
  <c r="N22"/>
  <c r="M14"/>
  <c r="M15"/>
  <c r="M18"/>
  <c r="S12" i="4"/>
  <c r="S13"/>
  <c r="S14"/>
  <c r="S15"/>
  <c r="S16"/>
  <c r="S17"/>
  <c r="S18"/>
  <c r="S19"/>
  <c r="S20"/>
  <c r="S21"/>
  <c r="S22"/>
  <c r="S23"/>
  <c r="S24"/>
  <c r="S25"/>
  <c r="Q12"/>
  <c r="Q13"/>
  <c r="Q14"/>
  <c r="Q15"/>
  <c r="Q16"/>
  <c r="Q17"/>
  <c r="Q18"/>
  <c r="Q19"/>
  <c r="Q20"/>
  <c r="Q21"/>
  <c r="Q22"/>
  <c r="Q23"/>
  <c r="Q24"/>
  <c r="Q25"/>
  <c r="P12"/>
  <c r="P13"/>
  <c r="P14"/>
  <c r="P15"/>
  <c r="P16"/>
  <c r="P17"/>
  <c r="P18"/>
  <c r="P19"/>
  <c r="P20"/>
  <c r="P21"/>
  <c r="P22"/>
  <c r="P23"/>
  <c r="P24"/>
  <c r="P25"/>
  <c r="B17"/>
  <c r="B18"/>
  <c r="B19"/>
  <c r="B20"/>
  <c r="B21"/>
  <c r="B22"/>
  <c r="B23"/>
  <c r="B24"/>
  <c r="B25"/>
  <c r="F10" i="3"/>
  <c r="G11" i="4"/>
  <c r="S11" s="1"/>
  <c r="M22" i="3" l="1"/>
  <c r="O22" s="1"/>
  <c r="M21"/>
  <c r="M17"/>
  <c r="M11"/>
  <c r="O11" s="1"/>
  <c r="N21"/>
  <c r="O21" s="1"/>
  <c r="N17"/>
  <c r="V8" i="9"/>
  <c r="V23" s="1"/>
  <c r="G26" s="1"/>
  <c r="R22" i="4"/>
  <c r="R18"/>
  <c r="R14"/>
  <c r="O14" i="3"/>
  <c r="N24"/>
  <c r="O24" s="1"/>
  <c r="N20"/>
  <c r="N16"/>
  <c r="R25" i="4"/>
  <c r="R21"/>
  <c r="R17"/>
  <c r="R13"/>
  <c r="O18" i="3"/>
  <c r="M13"/>
  <c r="O13" s="1"/>
  <c r="N23"/>
  <c r="N19"/>
  <c r="R24" i="4"/>
  <c r="R20"/>
  <c r="R16"/>
  <c r="R12"/>
  <c r="M20" i="3"/>
  <c r="M16"/>
  <c r="O12"/>
  <c r="P24"/>
  <c r="P23" i="5"/>
  <c r="P19"/>
  <c r="P15"/>
  <c r="P22" i="7"/>
  <c r="P18"/>
  <c r="P14"/>
  <c r="R23" i="4"/>
  <c r="R19"/>
  <c r="R15"/>
  <c r="M23" i="3"/>
  <c r="M19"/>
  <c r="O15"/>
  <c r="P22" i="5"/>
  <c r="P18"/>
  <c r="P14"/>
  <c r="P21" i="7"/>
  <c r="P17"/>
  <c r="P13"/>
  <c r="P11" i="5"/>
  <c r="Q25" i="7"/>
  <c r="S26" i="4"/>
  <c r="Q25" i="5"/>
  <c r="N10"/>
  <c r="P10" i="3"/>
  <c r="N10"/>
  <c r="M10"/>
  <c r="O10" i="7"/>
  <c r="Q11" i="4"/>
  <c r="O10" i="5"/>
  <c r="O19" i="3" l="1"/>
  <c r="O17"/>
  <c r="O23"/>
  <c r="O16"/>
  <c r="P25"/>
  <c r="G30" s="1"/>
  <c r="H41" i="1" s="1"/>
  <c r="O20" i="3"/>
  <c r="O10"/>
  <c r="P10" i="5"/>
  <c r="P25" s="1"/>
  <c r="O25" i="3" l="1"/>
  <c r="H40" i="1"/>
  <c r="U11" i="4"/>
  <c r="D17" i="2"/>
  <c r="Y11" i="4"/>
  <c r="Z11"/>
  <c r="I10" i="7"/>
  <c r="N10" s="1"/>
  <c r="P10" s="1"/>
  <c r="P25" s="1"/>
  <c r="H45" i="1" l="1"/>
  <c r="P11" i="4"/>
  <c r="R11" s="1"/>
  <c r="R26" s="1"/>
</calcChain>
</file>

<file path=xl/sharedStrings.xml><?xml version="1.0" encoding="utf-8"?>
<sst xmlns="http://schemas.openxmlformats.org/spreadsheetml/2006/main" count="683" uniqueCount="272">
  <si>
    <t>с</t>
  </si>
  <si>
    <t>кол-во</t>
  </si>
  <si>
    <t>Кол-во</t>
  </si>
  <si>
    <t>k</t>
  </si>
  <si>
    <t>Ширина</t>
  </si>
  <si>
    <t>Толщина</t>
  </si>
  <si>
    <t>Упор нижний</t>
  </si>
  <si>
    <t>Высота</t>
  </si>
  <si>
    <t>Заказ</t>
  </si>
  <si>
    <t>Упор вертикальный</t>
  </si>
  <si>
    <t>резка</t>
  </si>
  <si>
    <t>углоруб</t>
  </si>
  <si>
    <t>итого</t>
  </si>
  <si>
    <t>Гибка</t>
  </si>
  <si>
    <t>Номер чертежа</t>
  </si>
  <si>
    <t>Угол</t>
  </si>
  <si>
    <t>длина выруба</t>
  </si>
  <si>
    <t>ширина выруба</t>
  </si>
  <si>
    <t>Длина</t>
  </si>
  <si>
    <t xml:space="preserve">Длина      </t>
  </si>
  <si>
    <t>В1</t>
  </si>
  <si>
    <t>Наименование детали</t>
  </si>
  <si>
    <t xml:space="preserve"> L</t>
  </si>
  <si>
    <t>L</t>
  </si>
  <si>
    <t>сетка</t>
  </si>
  <si>
    <t>Монтажная рама</t>
  </si>
  <si>
    <t>Решетка декоративная</t>
  </si>
  <si>
    <t>КПД</t>
  </si>
  <si>
    <t>Стенка гор-ная</t>
  </si>
  <si>
    <t>Кол-во лопаток</t>
  </si>
  <si>
    <t>Кол-во углов В</t>
  </si>
  <si>
    <t>Кол-во углов А</t>
  </si>
  <si>
    <t>L - лопатки</t>
  </si>
  <si>
    <t>Лопатка (шт / 1)</t>
  </si>
  <si>
    <t>Угол (В)</t>
  </si>
  <si>
    <t>Угол (А)</t>
  </si>
  <si>
    <t>В (высота)</t>
  </si>
  <si>
    <t>А (ширина)</t>
  </si>
  <si>
    <t>№ заказа</t>
  </si>
  <si>
    <t>Р25</t>
  </si>
  <si>
    <t>Рубка</t>
  </si>
  <si>
    <t>выполнил</t>
  </si>
  <si>
    <t>___________________</t>
  </si>
  <si>
    <t>н.ч</t>
  </si>
  <si>
    <t>____________________</t>
  </si>
  <si>
    <t>_________________</t>
  </si>
  <si>
    <t xml:space="preserve">Резка </t>
  </si>
  <si>
    <t>_________</t>
  </si>
  <si>
    <t>нал реш</t>
  </si>
  <si>
    <t>Сопроводительный лист</t>
  </si>
  <si>
    <t>решетка</t>
  </si>
  <si>
    <t>монтажная рама</t>
  </si>
  <si>
    <t>мрз</t>
  </si>
  <si>
    <t>мрп</t>
  </si>
  <si>
    <t>нал сетки</t>
  </si>
  <si>
    <t>нал мрз</t>
  </si>
  <si>
    <t>нал мрп</t>
  </si>
  <si>
    <t>общее</t>
  </si>
  <si>
    <t>Стенка верт</t>
  </si>
  <si>
    <t>на стенки</t>
  </si>
  <si>
    <t>Сопроводительный лист  №</t>
  </si>
  <si>
    <t xml:space="preserve"> на монтажную раму</t>
  </si>
  <si>
    <t>Стенка  М.Р. гор-ая</t>
  </si>
  <si>
    <t>Сопроводительный лист №</t>
  </si>
  <si>
    <t>Талон для отрыва диспетчеру</t>
  </si>
  <si>
    <t>Задание выполнено полностью</t>
  </si>
  <si>
    <t>Гибка        _________________</t>
  </si>
  <si>
    <t>Мастер     _________________</t>
  </si>
  <si>
    <t>Резка</t>
  </si>
  <si>
    <t>Размер А</t>
  </si>
  <si>
    <t>Размер В</t>
  </si>
  <si>
    <t>Вырубка</t>
  </si>
  <si>
    <t>______________</t>
  </si>
  <si>
    <t>Сопроводительная №</t>
  </si>
  <si>
    <t>На резку декоративной рамки</t>
  </si>
  <si>
    <t>На изготовление корпусов</t>
  </si>
  <si>
    <t>на изготовление монтажной рамы</t>
  </si>
  <si>
    <t>на изготовление сетки</t>
  </si>
  <si>
    <t>на изготовление упора</t>
  </si>
  <si>
    <t>Обозначение</t>
  </si>
  <si>
    <t>-</t>
  </si>
  <si>
    <t>Вид монтажной рамы</t>
  </si>
  <si>
    <t>Кол-во рубов м.р. гор-ой</t>
  </si>
  <si>
    <t>Кол-во рубов м.р. верт-ой</t>
  </si>
  <si>
    <t>Кол-во рубов стенок верт</t>
  </si>
  <si>
    <t>Кол-во рубов стенок гор</t>
  </si>
  <si>
    <t>гибка уп</t>
  </si>
  <si>
    <t>Размер к для 4-0,3-1 фл</t>
  </si>
  <si>
    <t>Размер к для 4-0,3-2 фл</t>
  </si>
  <si>
    <t>Размер к для 4-0,1-1 фл</t>
  </si>
  <si>
    <t>Размер к для 4-0,1-2 фл</t>
  </si>
  <si>
    <t>Размер К</t>
  </si>
  <si>
    <t>Гибка корп</t>
  </si>
  <si>
    <t>Гибка мрп</t>
  </si>
  <si>
    <t>Гибка реш жалюз</t>
  </si>
  <si>
    <t>Жалюзийная решетка</t>
  </si>
  <si>
    <t>Р</t>
  </si>
  <si>
    <t>Сетка/Решеткка</t>
  </si>
  <si>
    <t>Число створок</t>
  </si>
  <si>
    <t>Выбор K</t>
  </si>
  <si>
    <t>КПД 4-03-1фл</t>
  </si>
  <si>
    <t>КПД 4-03-2фл</t>
  </si>
  <si>
    <t>КПД 4-01-1фл</t>
  </si>
  <si>
    <t>КПД 4-01-2фл</t>
  </si>
  <si>
    <t>Гибка общ</t>
  </si>
  <si>
    <t>1-900-300-1</t>
  </si>
  <si>
    <t>1-450-400-2</t>
  </si>
  <si>
    <t>1-500-400-1</t>
  </si>
  <si>
    <t>1-500-600-1</t>
  </si>
  <si>
    <t>1-700-400-1</t>
  </si>
  <si>
    <t>1-950-950-1</t>
  </si>
  <si>
    <t>1-1000-700-1</t>
  </si>
  <si>
    <t>1-650-450-1</t>
  </si>
  <si>
    <t>3-600-500-1</t>
  </si>
  <si>
    <t>3-750-600-1</t>
  </si>
  <si>
    <t>3-800-300-1</t>
  </si>
  <si>
    <t>3-800-400-1</t>
  </si>
  <si>
    <t>3-800-600-1</t>
  </si>
  <si>
    <t>3-800-800-1</t>
  </si>
  <si>
    <t>3-400-800-2</t>
  </si>
  <si>
    <t>3-500-600-2</t>
  </si>
  <si>
    <t>3-700-500-2</t>
  </si>
  <si>
    <t>3-800-400-2</t>
  </si>
  <si>
    <t>3-800-500-2</t>
  </si>
  <si>
    <t>3-900-300-2</t>
  </si>
  <si>
    <t>Кол-во выполненных деталей на Trumatic 2000</t>
  </si>
  <si>
    <t>Подпись исполниетля</t>
  </si>
  <si>
    <t>Кол-во выполненных деталей на TruBend</t>
  </si>
  <si>
    <t>____________________(дата)</t>
  </si>
  <si>
    <t xml:space="preserve">Мастер   </t>
  </si>
  <si>
    <t>_______________(дата)</t>
  </si>
  <si>
    <t>______________________(дата)</t>
  </si>
  <si>
    <t>_________________(дата)</t>
  </si>
  <si>
    <t>__________________(дата)</t>
  </si>
  <si>
    <t xml:space="preserve">Участок </t>
  </si>
  <si>
    <t>ВГ 199.00.00.004</t>
  </si>
  <si>
    <t>ВГ 199.00.00.005</t>
  </si>
  <si>
    <t>Упор вертикальный (верхний)</t>
  </si>
  <si>
    <t>ВГ 199.00.00.006</t>
  </si>
  <si>
    <t>Упор вертикальный (нижний)</t>
  </si>
  <si>
    <t>ВГ 199.00.00.007</t>
  </si>
  <si>
    <t>Упор  горизонтальный (нижний)</t>
  </si>
  <si>
    <t>Упор горизонтальный (верхний)</t>
  </si>
  <si>
    <t xml:space="preserve">Гибка лопатки: </t>
  </si>
  <si>
    <t xml:space="preserve">Упор </t>
  </si>
  <si>
    <t>ВГ 199.00.00.007-02</t>
  </si>
  <si>
    <t>ВГ 199.00.00.007-01</t>
  </si>
  <si>
    <t>Гибка корп.</t>
  </si>
  <si>
    <t>Гибка лоп.</t>
  </si>
  <si>
    <t>Участок TRUMPF</t>
  </si>
  <si>
    <t xml:space="preserve">Задание на вырубку  деталей. Trumpf </t>
  </si>
  <si>
    <t>№</t>
  </si>
  <si>
    <t>Заказ №</t>
  </si>
  <si>
    <t>Тип клапана</t>
  </si>
  <si>
    <t>Исполнение</t>
  </si>
  <si>
    <t>Применяемость</t>
  </si>
  <si>
    <t>Материал</t>
  </si>
  <si>
    <t>Кол-во  комплектов</t>
  </si>
  <si>
    <t>А</t>
  </si>
  <si>
    <t>В</t>
  </si>
  <si>
    <t xml:space="preserve">СОПРОВОДИТЕЛЬНЫЙ ЛИСТ №  </t>
  </si>
  <si>
    <t>Задание сформировал (диспетчер) _________________________________________</t>
  </si>
  <si>
    <t>Программы подготовил _______________________________________</t>
  </si>
  <si>
    <t>Исполняемый файл</t>
  </si>
  <si>
    <t>Маш. Время</t>
  </si>
  <si>
    <t>N раз</t>
  </si>
  <si>
    <t>Лист X*Y</t>
  </si>
  <si>
    <t>Итого:</t>
  </si>
  <si>
    <t>Оператор</t>
  </si>
  <si>
    <t>(_______________/_____________________)</t>
  </si>
  <si>
    <t>(Исполнитель\Дата)</t>
  </si>
  <si>
    <t>Стенка верт-я</t>
  </si>
  <si>
    <t>Стенка гор-я</t>
  </si>
  <si>
    <t>шт</t>
  </si>
  <si>
    <t xml:space="preserve">Лопатка </t>
  </si>
  <si>
    <t>Сетка/решетка жалюзийная</t>
  </si>
  <si>
    <t>наименование</t>
  </si>
  <si>
    <t>размер</t>
  </si>
  <si>
    <t>К</t>
  </si>
  <si>
    <t xml:space="preserve">Вид  рамы </t>
  </si>
  <si>
    <t xml:space="preserve">Задание на гибку  деталей. TruBend </t>
  </si>
  <si>
    <t xml:space="preserve">Участок TruBend </t>
  </si>
  <si>
    <t>Гибка н/ч</t>
  </si>
  <si>
    <t>Операция:</t>
  </si>
  <si>
    <t>Гибка     (___________/______________)</t>
  </si>
  <si>
    <t>норма</t>
  </si>
  <si>
    <t>длина до 2 м</t>
  </si>
  <si>
    <t>длина св 2 м</t>
  </si>
  <si>
    <t>Кол-во гибов</t>
  </si>
  <si>
    <t>толщина металла</t>
  </si>
  <si>
    <t>0,55-1</t>
  </si>
  <si>
    <t>до 2</t>
  </si>
  <si>
    <t>св 2</t>
  </si>
  <si>
    <t>кол-во гибов решетки</t>
  </si>
  <si>
    <t>кол-во жалюзей</t>
  </si>
  <si>
    <t xml:space="preserve">Кол-во  </t>
  </si>
  <si>
    <t xml:space="preserve">Стенка 
перегородки
вертикальная
ВГ 199.01.00.003
</t>
  </si>
  <si>
    <t>b</t>
  </si>
  <si>
    <t xml:space="preserve">Комплектовочный лист № </t>
  </si>
  <si>
    <t>H</t>
  </si>
  <si>
    <t>Лопатка Гермик</t>
  </si>
  <si>
    <t>СОПРОВОДИТЕЛЬНЫЙ ЛИСТ №</t>
  </si>
  <si>
    <t>Привод</t>
  </si>
  <si>
    <t>Привод:</t>
  </si>
  <si>
    <t>Belimo</t>
  </si>
  <si>
    <t>Общая длина (L)</t>
  </si>
  <si>
    <t>Количество осей</t>
  </si>
  <si>
    <t>Расположение привода</t>
  </si>
  <si>
    <t>Количество мест________________________________</t>
  </si>
  <si>
    <t xml:space="preserve">Комплектовщик заготовительного участка: </t>
  </si>
  <si>
    <t>Сдал: ________________  Дата_______________</t>
  </si>
  <si>
    <t xml:space="preserve">Комплектовщик сборочного  участка: </t>
  </si>
  <si>
    <t xml:space="preserve">Участок  абразивно-отрезной </t>
  </si>
  <si>
    <t xml:space="preserve">_ _ _ _ _ _ _ _ _ _ _ _ _ _ _ _ _ _ _ _ _ _ _ _ _ _ _ _ _ _ _ _ _ _ _ _ _ _ _ _ _ _ _ _ _ _ _ _ _ _ _ _ _ _ _ _ _ _ _ _ _ _ _ _ _ _ _ _ _ _ _ _ _ _ _ _ _ _ _ _ _ _ _ _ _ _ _ _ _ _ _ _ _ _ _ _ _ _ _ </t>
  </si>
  <si>
    <t>Кол-во комплектов:</t>
  </si>
  <si>
    <t>шт.</t>
  </si>
  <si>
    <t>Операция                  (Исполнитель/Дата)</t>
  </si>
  <si>
    <t>Покраска_________(_____________/____________)</t>
  </si>
  <si>
    <t>Мастер сборочного участка____________________</t>
  </si>
  <si>
    <t>Сварка_________(_____________/____________)</t>
  </si>
  <si>
    <t>Гибка_________(_____________/____________)</t>
  </si>
  <si>
    <t>Мастер заготовительного участка____________________</t>
  </si>
  <si>
    <t>Возвратный талон на изготовление (оси)</t>
  </si>
  <si>
    <t>Кол-во осей:</t>
  </si>
  <si>
    <t>Сварка</t>
  </si>
  <si>
    <t>Сварка _________(_____________/____________)</t>
  </si>
  <si>
    <t>Резка _________(_____________/____________)</t>
  </si>
  <si>
    <t>Покраска</t>
  </si>
  <si>
    <t>Чертеж</t>
  </si>
  <si>
    <t>Siemenes</t>
  </si>
  <si>
    <t xml:space="preserve">Стенка 
перегородки
ответная
ВГ 199.01.00.004
</t>
  </si>
  <si>
    <t xml:space="preserve">Стенка 
перегородки
горизонтальная
ВГ 199.01.00.005
</t>
  </si>
  <si>
    <t xml:space="preserve">Стенка 
перегородки
гор вертикальная
ВГ 199.01.00.006
</t>
  </si>
  <si>
    <t>а</t>
  </si>
  <si>
    <t xml:space="preserve">Стенка 
перегородки
(комплект, 2шт)
</t>
  </si>
  <si>
    <t>Норма</t>
  </si>
  <si>
    <t>Перегородка гор компл</t>
  </si>
  <si>
    <t>Перегородка верт  компл</t>
  </si>
  <si>
    <t>Общая норма</t>
  </si>
  <si>
    <t>Лопатка ВГ 199.00.00.001</t>
  </si>
  <si>
    <t>N1</t>
  </si>
  <si>
    <t>N2</t>
  </si>
  <si>
    <t>Общее количество лопаток</t>
  </si>
  <si>
    <r>
      <t xml:space="preserve">Длина трубы (L1)                                                                                                                                    </t>
    </r>
    <r>
      <rPr>
        <b/>
        <sz val="14"/>
        <color theme="1"/>
        <rFont val="Calibri"/>
        <family val="2"/>
        <charset val="204"/>
        <scheme val="minor"/>
      </rPr>
      <t>Dy=15</t>
    </r>
  </si>
  <si>
    <t>Стенка горизонтальная</t>
  </si>
  <si>
    <t>Стенка вертикальная</t>
  </si>
  <si>
    <t>Лопатки</t>
  </si>
  <si>
    <t>Сечение</t>
  </si>
  <si>
    <t>Общее количество решеток</t>
  </si>
  <si>
    <t>Рамка декоративная Р25</t>
  </si>
  <si>
    <t>для КПД, КПУ</t>
  </si>
  <si>
    <t>Итого</t>
  </si>
  <si>
    <t>Лопатка (1 шт)</t>
  </si>
  <si>
    <t>Лопатка (всего)</t>
  </si>
  <si>
    <t>Уголок (А) шт</t>
  </si>
  <si>
    <t>Уголок (B) шт</t>
  </si>
  <si>
    <t>Уголок (А) всего</t>
  </si>
  <si>
    <t>Уголок (В) всего</t>
  </si>
  <si>
    <t>Упор вертикальный (нижний) ВГ 199.00.00.007</t>
  </si>
  <si>
    <t>Упор вертикальный (верхний) ВГ 199.00.00.006</t>
  </si>
  <si>
    <t>Упор  горизонтальный (нижний) ВГ 199.00.00.005</t>
  </si>
  <si>
    <t>Упор горизонтальный (верхний)  ВГ 199.00.00.004</t>
  </si>
  <si>
    <t>Упор горизонтальный (верхний) ВГ 199.00.00.004</t>
  </si>
  <si>
    <t>Упор  горизонтальный (нижний)  ВГ 199.00.00.005</t>
  </si>
  <si>
    <t>Задание на абразивно-отрезной станок и точильно-шлифовальный станок</t>
  </si>
  <si>
    <t>Резка на абразивно-отрезном станке н/ч</t>
  </si>
  <si>
    <t>Резка на точильно-шлифовальном  станке н/ч</t>
  </si>
  <si>
    <t>Снятие фаски</t>
  </si>
  <si>
    <t>Всего</t>
  </si>
  <si>
    <t>Общая</t>
  </si>
  <si>
    <r>
      <t xml:space="preserve">Стойка для Р25 </t>
    </r>
    <r>
      <rPr>
        <b/>
        <sz val="14"/>
        <color theme="1"/>
        <rFont val="Calibri"/>
        <family val="2"/>
        <charset val="204"/>
        <scheme val="minor"/>
      </rPr>
      <t>ВМ 231.00.00.000</t>
    </r>
    <r>
      <rPr>
        <sz val="14"/>
        <color theme="1"/>
        <rFont val="Calibri"/>
        <family val="2"/>
        <charset val="204"/>
        <scheme val="minor"/>
      </rPr>
      <t xml:space="preserve">  </t>
    </r>
  </si>
  <si>
    <t>Стойка на Р25</t>
  </si>
</sst>
</file>

<file path=xl/styles.xml><?xml version="1.0" encoding="utf-8"?>
<styleSheet xmlns="http://schemas.openxmlformats.org/spreadsheetml/2006/main">
  <numFmts count="1">
    <numFmt numFmtId="164" formatCode="0.000"/>
  </numFmts>
  <fonts count="52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2"/>
      <color indexed="8"/>
      <name val="Arial"/>
      <family val="2"/>
      <charset val="204"/>
    </font>
    <font>
      <sz val="12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sz val="14"/>
      <color rgb="FF00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u/>
      <sz val="26"/>
      <color rgb="FF000000"/>
      <name val="Times New Roman"/>
      <family val="1"/>
      <charset val="204"/>
    </font>
    <font>
      <b/>
      <sz val="7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5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17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72"/>
      <name val="Arial Cyr"/>
      <charset val="204"/>
    </font>
    <font>
      <b/>
      <u/>
      <sz val="18"/>
      <color rgb="FF000000"/>
      <name val="Times New Roman"/>
      <family val="1"/>
      <charset val="204"/>
    </font>
    <font>
      <b/>
      <sz val="11"/>
      <name val="Arial Cyr"/>
      <charset val="204"/>
    </font>
    <font>
      <b/>
      <sz val="48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28"/>
      <color theme="1"/>
      <name val="Times New Roman"/>
      <family val="1"/>
      <charset val="204"/>
    </font>
    <font>
      <b/>
      <sz val="28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sz val="28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b/>
      <u/>
      <sz val="18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b/>
      <sz val="24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1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textRotation="90"/>
    </xf>
    <xf numFmtId="0" fontId="1" fillId="2" borderId="0" xfId="0" applyFont="1" applyFill="1" applyBorder="1" applyAlignment="1">
      <alignment vertical="center" textRotation="90" wrapText="1"/>
    </xf>
    <xf numFmtId="0" fontId="0" fillId="0" borderId="0" xfId="0" applyAlignment="1">
      <alignment textRotation="90" wrapText="1"/>
    </xf>
    <xf numFmtId="0" fontId="0" fillId="0" borderId="0" xfId="0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2" fillId="0" borderId="0" xfId="0" applyFont="1" applyBorder="1"/>
    <xf numFmtId="0" fontId="1" fillId="0" borderId="7" xfId="0" applyFont="1" applyBorder="1"/>
    <xf numFmtId="0" fontId="13" fillId="0" borderId="0" xfId="0" applyFont="1"/>
    <xf numFmtId="0" fontId="1" fillId="0" borderId="0" xfId="0" applyFont="1" applyBorder="1"/>
    <xf numFmtId="0" fontId="6" fillId="0" borderId="2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14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Border="1"/>
    <xf numFmtId="0" fontId="0" fillId="0" borderId="1" xfId="0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0" fillId="3" borderId="0" xfId="0" applyFill="1"/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/>
    <xf numFmtId="0" fontId="0" fillId="0" borderId="1" xfId="0" applyBorder="1" applyAlignment="1"/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2" fillId="0" borderId="0" xfId="0" applyFont="1" applyAlignment="1">
      <alignment vertical="justify"/>
    </xf>
    <xf numFmtId="0" fontId="18" fillId="0" borderId="0" xfId="0" applyFont="1" applyAlignment="1">
      <alignment vertical="justify"/>
    </xf>
    <xf numFmtId="0" fontId="18" fillId="0" borderId="0" xfId="0" applyFont="1"/>
    <xf numFmtId="0" fontId="18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 applyProtection="1">
      <alignment horizontal="center" vertical="center" wrapText="1"/>
      <protection locked="0"/>
    </xf>
    <xf numFmtId="0" fontId="12" fillId="0" borderId="14" xfId="0" applyFont="1" applyBorder="1" applyAlignment="1" applyProtection="1">
      <alignment horizontal="center" vertical="center" wrapText="1"/>
      <protection locked="0"/>
    </xf>
    <xf numFmtId="0" fontId="21" fillId="5" borderId="14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 applyProtection="1">
      <alignment horizontal="center" vertical="center" wrapText="1"/>
      <protection locked="0"/>
    </xf>
    <xf numFmtId="0" fontId="12" fillId="0" borderId="22" xfId="0" applyFont="1" applyBorder="1" applyAlignment="1" applyProtection="1">
      <alignment horizontal="center" vertical="center" wrapText="1"/>
      <protection locked="0"/>
    </xf>
    <xf numFmtId="0" fontId="21" fillId="5" borderId="22" xfId="0" applyFont="1" applyFill="1" applyBorder="1" applyAlignment="1">
      <alignment horizontal="center" vertical="center" wrapText="1"/>
    </xf>
    <xf numFmtId="0" fontId="0" fillId="0" borderId="26" xfId="0" applyBorder="1"/>
    <xf numFmtId="0" fontId="22" fillId="5" borderId="4" xfId="0" applyFont="1" applyFill="1" applyBorder="1" applyAlignment="1">
      <alignment vertical="center" wrapText="1"/>
    </xf>
    <xf numFmtId="0" fontId="21" fillId="5" borderId="4" xfId="0" applyFont="1" applyFill="1" applyBorder="1" applyAlignment="1">
      <alignment horizontal="center"/>
    </xf>
    <xf numFmtId="0" fontId="22" fillId="5" borderId="4" xfId="0" applyFont="1" applyFill="1" applyBorder="1" applyAlignment="1">
      <alignment horizontal="center" vertical="center" wrapText="1"/>
    </xf>
    <xf numFmtId="0" fontId="23" fillId="5" borderId="4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/>
    </xf>
    <xf numFmtId="0" fontId="23" fillId="0" borderId="4" xfId="0" applyFont="1" applyBorder="1" applyAlignment="1">
      <alignment horizontal="center" wrapText="1"/>
    </xf>
    <xf numFmtId="0" fontId="0" fillId="0" borderId="27" xfId="0" applyFont="1" applyBorder="1" applyAlignment="1">
      <alignment horizontal="center"/>
    </xf>
    <xf numFmtId="0" fontId="22" fillId="5" borderId="1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0" fillId="0" borderId="21" xfId="0" applyBorder="1"/>
    <xf numFmtId="0" fontId="0" fillId="0" borderId="22" xfId="0" applyBorder="1"/>
    <xf numFmtId="0" fontId="22" fillId="5" borderId="22" xfId="0" applyFont="1" applyFill="1" applyBorder="1" applyAlignment="1">
      <alignment vertical="center" wrapText="1"/>
    </xf>
    <xf numFmtId="0" fontId="21" fillId="5" borderId="22" xfId="0" applyFont="1" applyFill="1" applyBorder="1" applyAlignment="1">
      <alignment horizontal="center"/>
    </xf>
    <xf numFmtId="0" fontId="21" fillId="5" borderId="10" xfId="0" applyFont="1" applyFill="1" applyBorder="1" applyAlignment="1">
      <alignment horizontal="center"/>
    </xf>
    <xf numFmtId="0" fontId="22" fillId="5" borderId="22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horizontal="center" wrapText="1"/>
    </xf>
    <xf numFmtId="0" fontId="23" fillId="0" borderId="23" xfId="0" applyFont="1" applyBorder="1" applyAlignment="1">
      <alignment horizontal="center" wrapText="1"/>
    </xf>
    <xf numFmtId="0" fontId="23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26" fillId="0" borderId="0" xfId="0" applyFont="1"/>
    <xf numFmtId="49" fontId="0" fillId="0" borderId="0" xfId="0" applyNumberFormat="1" applyBorder="1"/>
    <xf numFmtId="0" fontId="18" fillId="0" borderId="0" xfId="0" applyFont="1" applyBorder="1"/>
    <xf numFmtId="0" fontId="27" fillId="0" borderId="0" xfId="0" applyFont="1"/>
    <xf numFmtId="0" fontId="27" fillId="0" borderId="0" xfId="0" applyFont="1" applyBorder="1"/>
    <xf numFmtId="0" fontId="15" fillId="0" borderId="0" xfId="0" applyFont="1" applyBorder="1"/>
    <xf numFmtId="0" fontId="21" fillId="5" borderId="16" xfId="0" applyFont="1" applyFill="1" applyBorder="1" applyAlignment="1">
      <alignment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0" borderId="16" xfId="0" applyFont="1" applyBorder="1" applyAlignment="1" applyProtection="1">
      <alignment horizontal="center" vertical="center" textRotation="90" wrapText="1"/>
      <protection locked="0"/>
    </xf>
    <xf numFmtId="0" fontId="12" fillId="0" borderId="24" xfId="0" applyFont="1" applyBorder="1" applyAlignment="1" applyProtection="1">
      <alignment horizontal="center" vertical="center" textRotation="90" wrapText="1"/>
      <protection locked="0"/>
    </xf>
    <xf numFmtId="0" fontId="21" fillId="5" borderId="12" xfId="0" applyFont="1" applyFill="1" applyBorder="1" applyAlignment="1">
      <alignment vertical="center" wrapText="1"/>
    </xf>
    <xf numFmtId="0" fontId="21" fillId="5" borderId="30" xfId="0" applyFont="1" applyFill="1" applyBorder="1" applyAlignment="1">
      <alignment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25" xfId="0" applyFont="1" applyFill="1" applyBorder="1" applyAlignment="1">
      <alignment horizontal="center" vertical="center" wrapText="1"/>
    </xf>
    <xf numFmtId="0" fontId="21" fillId="5" borderId="3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36" xfId="0" applyFont="1" applyFill="1" applyBorder="1" applyAlignment="1">
      <alignment horizontal="center" vertical="center" wrapText="1"/>
    </xf>
    <xf numFmtId="0" fontId="21" fillId="5" borderId="37" xfId="0" applyFont="1" applyFill="1" applyBorder="1" applyAlignment="1">
      <alignment horizontal="center" vertical="center" wrapText="1"/>
    </xf>
    <xf numFmtId="0" fontId="21" fillId="5" borderId="17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/>
    </xf>
    <xf numFmtId="0" fontId="23" fillId="5" borderId="35" xfId="0" applyFont="1" applyFill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center"/>
    </xf>
    <xf numFmtId="0" fontId="23" fillId="5" borderId="34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15" fillId="5" borderId="19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15" fillId="5" borderId="42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5" xfId="0" applyBorder="1"/>
    <xf numFmtId="0" fontId="21" fillId="5" borderId="43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/>
    </xf>
    <xf numFmtId="2" fontId="11" fillId="0" borderId="2" xfId="0" applyNumberFormat="1" applyFont="1" applyBorder="1"/>
    <xf numFmtId="0" fontId="11" fillId="0" borderId="2" xfId="0" applyFont="1" applyBorder="1"/>
    <xf numFmtId="0" fontId="27" fillId="0" borderId="0" xfId="0" applyFont="1" applyBorder="1" applyAlignment="1">
      <alignment horizontal="center"/>
    </xf>
    <xf numFmtId="0" fontId="12" fillId="0" borderId="0" xfId="0" applyFont="1" applyBorder="1"/>
    <xf numFmtId="0" fontId="21" fillId="5" borderId="17" xfId="0" applyFont="1" applyFill="1" applyBorder="1" applyAlignment="1">
      <alignment vertical="center" wrapText="1"/>
    </xf>
    <xf numFmtId="0" fontId="0" fillId="0" borderId="12" xfId="0" applyBorder="1"/>
    <xf numFmtId="0" fontId="0" fillId="0" borderId="20" xfId="0" applyBorder="1"/>
    <xf numFmtId="0" fontId="0" fillId="0" borderId="8" xfId="0" applyBorder="1"/>
    <xf numFmtId="0" fontId="0" fillId="0" borderId="44" xfId="0" applyBorder="1"/>
    <xf numFmtId="0" fontId="0" fillId="0" borderId="32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1" fillId="5" borderId="38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7" xfId="0" applyFont="1" applyBorder="1" applyAlignment="1" applyProtection="1">
      <alignment horizontal="center" vertical="center" textRotation="90" wrapText="1"/>
      <protection locked="0"/>
    </xf>
    <xf numFmtId="0" fontId="12" fillId="0" borderId="37" xfId="0" applyFont="1" applyBorder="1" applyAlignment="1" applyProtection="1">
      <alignment horizontal="center" vertical="center" textRotation="90" wrapText="1"/>
      <protection locked="0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2" fillId="5" borderId="1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1" fillId="5" borderId="3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9" fillId="0" borderId="0" xfId="0" applyFont="1"/>
    <xf numFmtId="0" fontId="19" fillId="0" borderId="45" xfId="0" applyFont="1" applyBorder="1" applyAlignment="1"/>
    <xf numFmtId="0" fontId="0" fillId="0" borderId="45" xfId="0" applyBorder="1"/>
    <xf numFmtId="0" fontId="19" fillId="0" borderId="0" xfId="0" applyFont="1" applyBorder="1" applyAlignment="1"/>
    <xf numFmtId="2" fontId="11" fillId="0" borderId="0" xfId="0" applyNumberFormat="1" applyFont="1" applyBorder="1"/>
    <xf numFmtId="0" fontId="11" fillId="0" borderId="0" xfId="0" applyFont="1" applyBorder="1"/>
    <xf numFmtId="0" fontId="21" fillId="4" borderId="0" xfId="0" applyFont="1" applyFill="1" applyBorder="1" applyAlignment="1">
      <alignment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0" borderId="46" xfId="0" applyBorder="1"/>
    <xf numFmtId="0" fontId="0" fillId="0" borderId="47" xfId="0" applyBorder="1"/>
    <xf numFmtId="0" fontId="0" fillId="0" borderId="5" xfId="0" applyBorder="1"/>
    <xf numFmtId="0" fontId="0" fillId="0" borderId="48" xfId="0" applyBorder="1"/>
    <xf numFmtId="0" fontId="0" fillId="0" borderId="11" xfId="0" applyBorder="1"/>
    <xf numFmtId="0" fontId="0" fillId="0" borderId="48" xfId="0" applyBorder="1" applyAlignment="1">
      <alignment horizontal="center" vertical="center" textRotation="90" wrapText="1"/>
    </xf>
    <xf numFmtId="0" fontId="5" fillId="0" borderId="0" xfId="0" applyFont="1" applyAlignment="1"/>
    <xf numFmtId="0" fontId="0" fillId="0" borderId="13" xfId="0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4" borderId="14" xfId="0" applyFont="1" applyFill="1" applyBorder="1"/>
    <xf numFmtId="0" fontId="11" fillId="4" borderId="30" xfId="0" applyFont="1" applyFill="1" applyBorder="1"/>
    <xf numFmtId="0" fontId="0" fillId="0" borderId="26" xfId="0" applyBorder="1" applyAlignment="1">
      <alignment horizontal="center" vertical="center"/>
    </xf>
    <xf numFmtId="0" fontId="11" fillId="4" borderId="1" xfId="0" applyFont="1" applyFill="1" applyBorder="1"/>
    <xf numFmtId="0" fontId="11" fillId="4" borderId="27" xfId="0" applyFont="1" applyFill="1" applyBorder="1"/>
    <xf numFmtId="0" fontId="0" fillId="0" borderId="11" xfId="0" applyBorder="1" applyAlignment="1">
      <alignment vertical="center" textRotation="90" wrapText="1"/>
    </xf>
    <xf numFmtId="0" fontId="32" fillId="0" borderId="0" xfId="0" applyFont="1" applyBorder="1" applyAlignment="1">
      <alignment textRotation="90"/>
    </xf>
    <xf numFmtId="0" fontId="0" fillId="0" borderId="0" xfId="0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4" borderId="38" xfId="0" applyFill="1" applyBorder="1"/>
    <xf numFmtId="164" fontId="11" fillId="0" borderId="2" xfId="0" applyNumberFormat="1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4" fillId="0" borderId="0" xfId="0" applyFont="1"/>
    <xf numFmtId="0" fontId="35" fillId="0" borderId="0" xfId="0" applyFont="1" applyBorder="1"/>
    <xf numFmtId="0" fontId="36" fillId="0" borderId="0" xfId="0" applyFont="1" applyBorder="1"/>
    <xf numFmtId="0" fontId="37" fillId="0" borderId="0" xfId="0" applyFont="1" applyBorder="1"/>
    <xf numFmtId="0" fontId="36" fillId="0" borderId="0" xfId="0" applyFont="1"/>
    <xf numFmtId="0" fontId="39" fillId="0" borderId="0" xfId="0" applyFont="1" applyBorder="1"/>
    <xf numFmtId="0" fontId="39" fillId="0" borderId="0" xfId="0" applyFont="1"/>
    <xf numFmtId="0" fontId="40" fillId="0" borderId="0" xfId="0" applyFont="1" applyAlignment="1">
      <alignment vertical="center" textRotation="90"/>
    </xf>
    <xf numFmtId="0" fontId="41" fillId="0" borderId="0" xfId="0" applyFont="1" applyAlignment="1">
      <alignment horizontal="center"/>
    </xf>
    <xf numFmtId="0" fontId="42" fillId="0" borderId="0" xfId="0" applyFont="1"/>
    <xf numFmtId="0" fontId="35" fillId="0" borderId="0" xfId="0" applyFont="1"/>
    <xf numFmtId="0" fontId="30" fillId="0" borderId="11" xfId="0" applyFont="1" applyBorder="1" applyAlignment="1">
      <alignment vertical="center" textRotation="90"/>
    </xf>
    <xf numFmtId="0" fontId="30" fillId="0" borderId="0" xfId="0" applyFont="1" applyBorder="1" applyAlignment="1">
      <alignment vertical="center" textRotation="90"/>
    </xf>
    <xf numFmtId="0" fontId="43" fillId="0" borderId="11" xfId="0" applyFont="1" applyBorder="1" applyAlignment="1">
      <alignment vertical="center" textRotation="90" wrapText="1"/>
    </xf>
    <xf numFmtId="0" fontId="43" fillId="0" borderId="0" xfId="0" applyFont="1"/>
    <xf numFmtId="0" fontId="44" fillId="0" borderId="11" xfId="0" applyFont="1" applyBorder="1" applyAlignment="1">
      <alignment textRotation="90"/>
    </xf>
    <xf numFmtId="2" fontId="25" fillId="0" borderId="2" xfId="0" applyNumberFormat="1" applyFont="1" applyBorder="1"/>
    <xf numFmtId="0" fontId="45" fillId="0" borderId="0" xfId="0" applyFont="1"/>
    <xf numFmtId="0" fontId="0" fillId="0" borderId="52" xfId="0" applyBorder="1"/>
    <xf numFmtId="0" fontId="34" fillId="0" borderId="52" xfId="0" applyFont="1" applyBorder="1"/>
    <xf numFmtId="0" fontId="35" fillId="0" borderId="52" xfId="0" applyFont="1" applyBorder="1"/>
    <xf numFmtId="0" fontId="36" fillId="0" borderId="52" xfId="0" applyFont="1" applyBorder="1"/>
    <xf numFmtId="0" fontId="37" fillId="0" borderId="52" xfId="0" applyFont="1" applyBorder="1"/>
    <xf numFmtId="0" fontId="0" fillId="0" borderId="52" xfId="0" applyBorder="1" applyAlignment="1">
      <alignment horizont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6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15" fillId="5" borderId="53" xfId="0" applyFont="1" applyFill="1" applyBorder="1" applyAlignment="1">
      <alignment horizontal="center" vertical="center" wrapText="1"/>
    </xf>
    <xf numFmtId="0" fontId="0" fillId="5" borderId="1" xfId="0" applyFill="1" applyBorder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21" fillId="5" borderId="45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28" xfId="0" applyFont="1" applyBorder="1" applyAlignment="1">
      <alignment horizontal="center" vertical="center" wrapText="1"/>
    </xf>
    <xf numFmtId="0" fontId="48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/>
    </xf>
    <xf numFmtId="0" fontId="6" fillId="0" borderId="4" xfId="0" applyFont="1" applyBorder="1"/>
    <xf numFmtId="0" fontId="6" fillId="3" borderId="28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0" fillId="7" borderId="0" xfId="0" applyFill="1"/>
    <xf numFmtId="0" fontId="0" fillId="0" borderId="4" xfId="0" applyBorder="1" applyAlignment="1">
      <alignment horizontal="center" vertical="center"/>
    </xf>
    <xf numFmtId="0" fontId="0" fillId="0" borderId="34" xfId="0" applyBorder="1"/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 applyProtection="1">
      <alignment horizontal="center" vertical="center" textRotation="90" wrapText="1"/>
      <protection locked="0"/>
    </xf>
    <xf numFmtId="0" fontId="21" fillId="5" borderId="14" xfId="0" applyFont="1" applyFill="1" applyBorder="1" applyAlignment="1">
      <alignment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 applyProtection="1">
      <alignment horizontal="center" vertical="center" textRotation="90" wrapText="1"/>
      <protection locked="0"/>
    </xf>
    <xf numFmtId="0" fontId="15" fillId="5" borderId="22" xfId="0" applyFont="1" applyFill="1" applyBorder="1" applyAlignment="1">
      <alignment horizontal="center" vertical="center" wrapText="1"/>
    </xf>
    <xf numFmtId="0" fontId="12" fillId="5" borderId="22" xfId="0" applyFont="1" applyFill="1" applyBorder="1" applyAlignment="1">
      <alignment horizontal="center" vertical="center" wrapText="1"/>
    </xf>
    <xf numFmtId="0" fontId="15" fillId="5" borderId="25" xfId="0" applyFont="1" applyFill="1" applyBorder="1" applyAlignment="1">
      <alignment horizontal="center" vertical="center" wrapText="1"/>
    </xf>
    <xf numFmtId="0" fontId="49" fillId="5" borderId="4" xfId="0" applyFont="1" applyFill="1" applyBorder="1" applyAlignment="1">
      <alignment horizontal="center" vertical="center" wrapText="1"/>
    </xf>
    <xf numFmtId="0" fontId="49" fillId="5" borderId="4" xfId="0" applyFont="1" applyFill="1" applyBorder="1" applyAlignment="1">
      <alignment horizontal="center" vertical="center"/>
    </xf>
    <xf numFmtId="0" fontId="49" fillId="5" borderId="35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49" fillId="5" borderId="30" xfId="0" applyFont="1" applyFill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/>
    </xf>
    <xf numFmtId="0" fontId="50" fillId="0" borderId="30" xfId="0" applyNumberFormat="1" applyFont="1" applyBorder="1" applyAlignment="1">
      <alignment horizontal="center" vertical="center"/>
    </xf>
    <xf numFmtId="0" fontId="50" fillId="0" borderId="27" xfId="0" applyNumberFormat="1" applyFont="1" applyBorder="1" applyAlignment="1">
      <alignment horizontal="center" vertical="center"/>
    </xf>
    <xf numFmtId="0" fontId="50" fillId="0" borderId="35" xfId="0" applyNumberFormat="1" applyFont="1" applyBorder="1" applyAlignment="1">
      <alignment horizontal="center" vertical="center"/>
    </xf>
    <xf numFmtId="0" fontId="50" fillId="0" borderId="0" xfId="0" applyFont="1" applyBorder="1"/>
    <xf numFmtId="0" fontId="50" fillId="0" borderId="0" xfId="0" applyFont="1" applyBorder="1" applyAlignment="1">
      <alignment horizontal="center" vertical="center"/>
    </xf>
    <xf numFmtId="49" fontId="5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11" fillId="0" borderId="0" xfId="0" applyNumberFormat="1" applyFont="1" applyBorder="1"/>
    <xf numFmtId="0" fontId="0" fillId="0" borderId="10" xfId="0" applyFill="1" applyBorder="1"/>
    <xf numFmtId="0" fontId="7" fillId="0" borderId="13" xfId="0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/>
    </xf>
    <xf numFmtId="1" fontId="6" fillId="0" borderId="30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27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" fontId="6" fillId="0" borderId="22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1" fontId="6" fillId="0" borderId="25" xfId="0" applyNumberFormat="1" applyFont="1" applyBorder="1" applyAlignment="1">
      <alignment horizontal="center"/>
    </xf>
    <xf numFmtId="0" fontId="5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0" borderId="10" xfId="0" applyFont="1" applyBorder="1" applyAlignment="1">
      <alignment horizontal="center" wrapText="1"/>
    </xf>
    <xf numFmtId="0" fontId="50" fillId="0" borderId="0" xfId="0" applyNumberFormat="1" applyFont="1" applyBorder="1" applyAlignment="1">
      <alignment horizontal="center" vertical="center"/>
    </xf>
    <xf numFmtId="0" fontId="15" fillId="5" borderId="39" xfId="0" applyFont="1" applyFill="1" applyBorder="1" applyAlignment="1">
      <alignment horizontal="center" vertical="center" wrapText="1"/>
    </xf>
    <xf numFmtId="0" fontId="23" fillId="5" borderId="33" xfId="0" applyFont="1" applyFill="1" applyBorder="1" applyAlignment="1">
      <alignment horizontal="center" vertical="center"/>
    </xf>
    <xf numFmtId="0" fontId="49" fillId="5" borderId="13" xfId="0" applyFont="1" applyFill="1" applyBorder="1" applyAlignment="1">
      <alignment horizontal="center" vertical="center"/>
    </xf>
    <xf numFmtId="0" fontId="49" fillId="5" borderId="14" xfId="0" applyFont="1" applyFill="1" applyBorder="1" applyAlignment="1">
      <alignment horizontal="center" vertical="center"/>
    </xf>
    <xf numFmtId="0" fontId="49" fillId="5" borderId="14" xfId="0" applyFont="1" applyFill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21" fillId="5" borderId="56" xfId="0" applyFont="1" applyFill="1" applyBorder="1" applyAlignment="1">
      <alignment horizontal="center" vertical="center" wrapText="1"/>
    </xf>
    <xf numFmtId="0" fontId="21" fillId="5" borderId="57" xfId="0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15" fillId="5" borderId="49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/>
    </xf>
    <xf numFmtId="1" fontId="6" fillId="8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51" fillId="0" borderId="0" xfId="0" applyFont="1" applyBorder="1" applyAlignment="1"/>
    <xf numFmtId="0" fontId="23" fillId="3" borderId="0" xfId="0" applyFont="1" applyFill="1"/>
    <xf numFmtId="0" fontId="5" fillId="3" borderId="0" xfId="0" applyFont="1" applyFill="1"/>
    <xf numFmtId="0" fontId="5" fillId="0" borderId="0" xfId="0" applyFont="1" applyFill="1"/>
    <xf numFmtId="0" fontId="38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1" fillId="0" borderId="0" xfId="0" applyFont="1" applyBorder="1"/>
    <xf numFmtId="0" fontId="2" fillId="0" borderId="0" xfId="0" applyFont="1" applyBorder="1" applyAlignment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7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8" fillId="0" borderId="0" xfId="0" applyNumberFormat="1" applyFont="1" applyBorder="1" applyAlignment="1">
      <alignment horizontal="left" vertical="center"/>
    </xf>
    <xf numFmtId="0" fontId="51" fillId="0" borderId="0" xfId="0" applyFont="1" applyBorder="1" applyAlignment="1">
      <alignment horizontal="left"/>
    </xf>
    <xf numFmtId="0" fontId="29" fillId="0" borderId="0" xfId="0" applyFont="1" applyAlignment="1">
      <alignment horizontal="center"/>
    </xf>
    <xf numFmtId="0" fontId="50" fillId="0" borderId="20" xfId="0" applyFont="1" applyBorder="1" applyAlignment="1">
      <alignment horizontal="left" vertical="center"/>
    </xf>
    <xf numFmtId="0" fontId="50" fillId="0" borderId="55" xfId="0" applyFont="1" applyBorder="1" applyAlignment="1">
      <alignment horizontal="left" vertical="center"/>
    </xf>
    <xf numFmtId="0" fontId="50" fillId="0" borderId="8" xfId="0" applyFont="1" applyBorder="1" applyAlignment="1">
      <alignment horizontal="left" vertical="center"/>
    </xf>
    <xf numFmtId="2" fontId="50" fillId="0" borderId="1" xfId="0" applyNumberFormat="1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0" fontId="50" fillId="0" borderId="8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9" xfId="0" applyFont="1" applyBorder="1" applyAlignment="1">
      <alignment horizontal="center" vertical="center"/>
    </xf>
    <xf numFmtId="2" fontId="50" fillId="0" borderId="4" xfId="0" applyNumberFormat="1" applyFont="1" applyBorder="1" applyAlignment="1">
      <alignment horizontal="center" vertical="center"/>
    </xf>
    <xf numFmtId="0" fontId="50" fillId="0" borderId="54" xfId="0" applyFont="1" applyBorder="1" applyAlignment="1">
      <alignment horizontal="left" vertical="center"/>
    </xf>
    <xf numFmtId="0" fontId="50" fillId="0" borderId="2" xfId="0" applyFont="1" applyBorder="1" applyAlignment="1">
      <alignment horizontal="left" vertical="center"/>
    </xf>
    <xf numFmtId="0" fontId="50" fillId="0" borderId="9" xfId="0" applyFont="1" applyBorder="1" applyAlignment="1">
      <alignment horizontal="left" vertical="center"/>
    </xf>
    <xf numFmtId="0" fontId="50" fillId="0" borderId="28" xfId="0" applyFont="1" applyBorder="1" applyAlignment="1">
      <alignment horizontal="center" vertical="center"/>
    </xf>
    <xf numFmtId="0" fontId="50" fillId="0" borderId="12" xfId="0" applyFont="1" applyBorder="1" applyAlignment="1">
      <alignment horizontal="left" vertical="center"/>
    </xf>
    <xf numFmtId="0" fontId="50" fillId="0" borderId="17" xfId="0" applyFont="1" applyBorder="1" applyAlignment="1">
      <alignment horizontal="left" vertical="center"/>
    </xf>
    <xf numFmtId="0" fontId="50" fillId="0" borderId="29" xfId="0" applyFont="1" applyBorder="1" applyAlignment="1">
      <alignment horizontal="left" vertical="center"/>
    </xf>
    <xf numFmtId="0" fontId="50" fillId="0" borderId="4" xfId="0" applyFont="1" applyBorder="1" applyAlignment="1">
      <alignment horizontal="center" vertical="center"/>
    </xf>
    <xf numFmtId="0" fontId="50" fillId="0" borderId="17" xfId="0" applyFont="1" applyBorder="1" applyAlignment="1">
      <alignment horizontal="center" vertical="center"/>
    </xf>
    <xf numFmtId="0" fontId="50" fillId="0" borderId="29" xfId="0" applyFont="1" applyBorder="1" applyAlignment="1">
      <alignment horizontal="center" vertical="center"/>
    </xf>
    <xf numFmtId="0" fontId="50" fillId="0" borderId="28" xfId="0" applyFont="1" applyBorder="1" applyAlignment="1">
      <alignment horizontal="center" vertical="center" wrapText="1"/>
    </xf>
    <xf numFmtId="0" fontId="24" fillId="0" borderId="0" xfId="0" applyFont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0" xfId="0" applyFont="1" applyBorder="1" applyAlignment="1">
      <alignment horizontal="center" textRotation="90"/>
    </xf>
    <xf numFmtId="0" fontId="18" fillId="0" borderId="0" xfId="0" applyFont="1" applyAlignment="1">
      <alignment horizontal="center" textRotation="90"/>
    </xf>
    <xf numFmtId="0" fontId="46" fillId="3" borderId="3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0" fillId="0" borderId="0" xfId="0" applyFont="1" applyAlignment="1">
      <alignment horizontal="center" textRotation="90"/>
    </xf>
    <xf numFmtId="0" fontId="19" fillId="0" borderId="11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2" fillId="5" borderId="14" xfId="0" applyFont="1" applyFill="1" applyBorder="1" applyAlignment="1">
      <alignment horizontal="center" vertical="center" wrapText="1"/>
    </xf>
    <xf numFmtId="0" fontId="21" fillId="5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50" fillId="0" borderId="41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2" fontId="50" fillId="0" borderId="18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5" borderId="38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center" vertical="top" wrapText="1"/>
    </xf>
    <xf numFmtId="0" fontId="12" fillId="5" borderId="39" xfId="0" applyFont="1" applyFill="1" applyBorder="1" applyAlignment="1">
      <alignment horizontal="center" vertical="center" wrapText="1"/>
    </xf>
    <xf numFmtId="0" fontId="12" fillId="5" borderId="40" xfId="0" applyFont="1" applyFill="1" applyBorder="1" applyAlignment="1">
      <alignment horizontal="center" vertical="center" wrapText="1"/>
    </xf>
    <xf numFmtId="0" fontId="21" fillId="5" borderId="38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29" xfId="0" applyFont="1" applyFill="1" applyBorder="1" applyAlignment="1">
      <alignment horizontal="center" vertical="center" wrapText="1"/>
    </xf>
    <xf numFmtId="0" fontId="38" fillId="0" borderId="0" xfId="0" applyFont="1" applyBorder="1" applyAlignment="1">
      <alignment horizontal="center"/>
    </xf>
    <xf numFmtId="0" fontId="4" fillId="0" borderId="0" xfId="0" applyFont="1" applyAlignment="1">
      <alignment horizontal="center" textRotation="90"/>
    </xf>
    <xf numFmtId="0" fontId="30" fillId="0" borderId="11" xfId="0" applyFont="1" applyBorder="1" applyAlignment="1">
      <alignment horizontal="center" vertical="center" textRotation="180"/>
    </xf>
    <xf numFmtId="0" fontId="30" fillId="0" borderId="0" xfId="0" applyFont="1" applyBorder="1" applyAlignment="1">
      <alignment horizontal="center" vertical="center" textRotation="180"/>
    </xf>
    <xf numFmtId="0" fontId="31" fillId="0" borderId="11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2" fillId="0" borderId="49" xfId="0" applyFont="1" applyBorder="1" applyAlignment="1" applyProtection="1">
      <alignment horizontal="center" vertical="center" wrapText="1"/>
      <protection locked="0"/>
    </xf>
    <xf numFmtId="0" fontId="12" fillId="0" borderId="50" xfId="0" applyFont="1" applyBorder="1" applyAlignment="1" applyProtection="1">
      <alignment horizontal="center" vertical="center" wrapText="1"/>
      <protection locked="0"/>
    </xf>
    <xf numFmtId="0" fontId="12" fillId="0" borderId="51" xfId="0" applyFont="1" applyBorder="1" applyAlignment="1" applyProtection="1">
      <alignment horizontal="center" vertical="center" wrapText="1"/>
      <protection locked="0"/>
    </xf>
    <xf numFmtId="0" fontId="5" fillId="0" borderId="49" xfId="0" applyFont="1" applyBorder="1" applyAlignment="1" applyProtection="1">
      <alignment horizontal="center" vertical="center" wrapText="1"/>
      <protection locked="0"/>
    </xf>
    <xf numFmtId="0" fontId="5" fillId="0" borderId="50" xfId="0" applyFont="1" applyBorder="1" applyAlignment="1" applyProtection="1">
      <alignment horizontal="center" vertical="center" wrapText="1"/>
      <protection locked="0"/>
    </xf>
    <xf numFmtId="0" fontId="5" fillId="0" borderId="5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textRotation="90"/>
    </xf>
    <xf numFmtId="0" fontId="5" fillId="0" borderId="0" xfId="0" applyFont="1" applyAlignment="1"/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 textRotation="90"/>
    </xf>
    <xf numFmtId="0" fontId="0" fillId="0" borderId="28" xfId="0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top" textRotation="90"/>
    </xf>
    <xf numFmtId="0" fontId="29" fillId="0" borderId="0" xfId="0" applyFont="1" applyAlignment="1">
      <alignment horizontal="center" textRotation="90"/>
    </xf>
    <xf numFmtId="0" fontId="4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41;&#1086;&#1088;&#1086;&#1074;&#1082;&#1086;&#1074;\&#1057;&#1086;&#1087;&#1088;&#1086;&#1074;&#1086;&#1076;&#1080;&#1090;&#1077;&#1083;&#1100;&#1085;&#1099;&#1077;\&#1057;&#1086;&#1087;&#1088;&#1086;&#1074;&#1086;&#1076;&#1080;&#1090;&#1077;&#1083;&#1100;&#1085;&#1099;&#1077;\&#1043;&#1077;&#1088;&#1084;&#1080;&#1082;,%20&#1056;&#1077;&#1075;&#1091;&#1083;&#1103;&#1088;%20&#1089;&#1086;&#1087;&#1088;.&#1086;&#1073;&#1088;&#1072;&#1079;&#1077;&#1094;%20&#1086;&#1090;%2024.05.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Исходные данные"/>
      <sheetName val="Труматик гермики"/>
      <sheetName val="Ножницы стенка"/>
      <sheetName val="Ножницы кожух"/>
      <sheetName val="Задание Ножницы лента"/>
      <sheetName val="Ножницы упор"/>
      <sheetName val="Задание на гибку"/>
      <sheetName val="Задание на резку"/>
      <sheetName val="Задание на Trumpf"/>
      <sheetName val="Комплектовочный лист"/>
      <sheetName val="Программист"/>
      <sheetName val="Справочные"/>
      <sheetName val="reg_table"/>
    </sheetNames>
    <sheetDataSet>
      <sheetData sheetId="0" refreshError="1">
        <row r="10">
          <cell r="AQ10">
            <v>0</v>
          </cell>
          <cell r="AS10">
            <v>0</v>
          </cell>
        </row>
        <row r="11">
          <cell r="AQ11">
            <v>0</v>
          </cell>
          <cell r="AS11">
            <v>0</v>
          </cell>
        </row>
        <row r="12">
          <cell r="AQ12">
            <v>0</v>
          </cell>
          <cell r="AS12">
            <v>0</v>
          </cell>
        </row>
        <row r="13">
          <cell r="AQ13">
            <v>0</v>
          </cell>
          <cell r="AS13">
            <v>0</v>
          </cell>
        </row>
        <row r="14">
          <cell r="AQ14">
            <v>0</v>
          </cell>
          <cell r="AS14">
            <v>0</v>
          </cell>
        </row>
        <row r="15">
          <cell r="AQ15">
            <v>0</v>
          </cell>
          <cell r="AS15">
            <v>0</v>
          </cell>
        </row>
        <row r="16">
          <cell r="AQ16">
            <v>0</v>
          </cell>
          <cell r="AS16">
            <v>0</v>
          </cell>
        </row>
        <row r="17">
          <cell r="AQ17">
            <v>0</v>
          </cell>
          <cell r="AS17">
            <v>0</v>
          </cell>
        </row>
        <row r="18">
          <cell r="AQ18">
            <v>0</v>
          </cell>
          <cell r="AS18">
            <v>0</v>
          </cell>
        </row>
        <row r="19">
          <cell r="AQ19">
            <v>0</v>
          </cell>
          <cell r="AS19">
            <v>0</v>
          </cell>
        </row>
        <row r="20">
          <cell r="AQ20">
            <v>0</v>
          </cell>
          <cell r="AS20">
            <v>0</v>
          </cell>
        </row>
        <row r="21">
          <cell r="AQ21">
            <v>0</v>
          </cell>
          <cell r="AS21">
            <v>0</v>
          </cell>
        </row>
        <row r="22">
          <cell r="AQ22">
            <v>0</v>
          </cell>
          <cell r="AS22">
            <v>0</v>
          </cell>
        </row>
        <row r="23">
          <cell r="AQ23">
            <v>0</v>
          </cell>
          <cell r="AS23">
            <v>0</v>
          </cell>
        </row>
        <row r="24">
          <cell r="AQ24">
            <v>0</v>
          </cell>
          <cell r="AS2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45"/>
  <sheetViews>
    <sheetView tabSelected="1" topLeftCell="A4" workbookViewId="0">
      <selection activeCell="J13" sqref="J13"/>
    </sheetView>
  </sheetViews>
  <sheetFormatPr defaultRowHeight="15"/>
  <cols>
    <col min="3" max="3" width="5.28515625" customWidth="1"/>
    <col min="4" max="5" width="3.85546875" customWidth="1"/>
    <col min="6" max="6" width="4.42578125" customWidth="1"/>
    <col min="7" max="7" width="10.5703125" customWidth="1"/>
    <col min="8" max="8" width="13.5703125" customWidth="1"/>
    <col min="9" max="9" width="6.140625" customWidth="1"/>
    <col min="10" max="10" width="3.42578125" customWidth="1"/>
    <col min="11" max="11" width="3" customWidth="1"/>
    <col min="12" max="12" width="3.5703125" customWidth="1"/>
    <col min="13" max="13" width="14.85546875" customWidth="1"/>
    <col min="14" max="15" width="2.85546875" customWidth="1"/>
    <col min="17" max="17" width="4.28515625" customWidth="1"/>
    <col min="18" max="18" width="4.5703125" customWidth="1"/>
    <col min="19" max="19" width="7" customWidth="1"/>
    <col min="20" max="26" width="0" hidden="1" customWidth="1"/>
    <col min="27" max="27" width="13.5703125" hidden="1" customWidth="1"/>
    <col min="28" max="31" width="0" hidden="1" customWidth="1"/>
  </cols>
  <sheetData>
    <row r="1" spans="2:24">
      <c r="B1" s="21"/>
    </row>
    <row r="2" spans="2:24">
      <c r="B2" s="21"/>
    </row>
    <row r="3" spans="2:24">
      <c r="B3" s="21"/>
    </row>
    <row r="4" spans="2:24">
      <c r="B4" s="21"/>
    </row>
    <row r="5" spans="2:24">
      <c r="B5" s="21"/>
    </row>
    <row r="6" spans="2:24">
      <c r="B6" s="21"/>
    </row>
    <row r="7" spans="2:24">
      <c r="B7" s="21" t="s">
        <v>24</v>
      </c>
      <c r="G7" s="4" t="s">
        <v>0</v>
      </c>
    </row>
    <row r="8" spans="2:24">
      <c r="B8" s="21" t="s">
        <v>25</v>
      </c>
      <c r="G8" t="s">
        <v>52</v>
      </c>
      <c r="H8" t="s">
        <v>53</v>
      </c>
    </row>
    <row r="9" spans="2:24">
      <c r="B9" s="21" t="s">
        <v>26</v>
      </c>
      <c r="G9" s="29" t="s">
        <v>39</v>
      </c>
      <c r="H9" t="str">
        <f>IF(R17=G9,1,"---")</f>
        <v>---</v>
      </c>
    </row>
    <row r="10" spans="2:24">
      <c r="B10" s="21" t="s">
        <v>95</v>
      </c>
      <c r="G10" s="29" t="s">
        <v>96</v>
      </c>
    </row>
    <row r="11" spans="2:24">
      <c r="B11" s="21" t="s">
        <v>203</v>
      </c>
      <c r="G11" s="4" t="s">
        <v>229</v>
      </c>
    </row>
    <row r="12" spans="2:24">
      <c r="G12" s="4" t="s">
        <v>204</v>
      </c>
    </row>
    <row r="13" spans="2:24" ht="18.75">
      <c r="B13" s="22" t="s">
        <v>49</v>
      </c>
      <c r="C13" s="22"/>
      <c r="D13" s="22"/>
      <c r="E13" s="22"/>
      <c r="F13" s="22"/>
      <c r="G13" s="22"/>
      <c r="H13" s="33">
        <v>2222</v>
      </c>
      <c r="I13" s="33"/>
    </row>
    <row r="15" spans="2:24" ht="48.75" customHeight="1">
      <c r="B15" s="38"/>
      <c r="C15" s="38"/>
      <c r="D15" s="38"/>
      <c r="E15" s="38"/>
      <c r="F15" s="39"/>
      <c r="G15" s="38"/>
      <c r="H15" s="38"/>
      <c r="I15" s="38"/>
      <c r="J15" s="38"/>
      <c r="K15" s="38"/>
      <c r="L15" s="38"/>
      <c r="M15" s="38"/>
      <c r="N15" s="38" t="s">
        <v>24</v>
      </c>
      <c r="O15" s="38"/>
      <c r="P15" s="40" t="s">
        <v>51</v>
      </c>
      <c r="Q15" s="40"/>
      <c r="R15" s="38" t="s">
        <v>50</v>
      </c>
      <c r="S15" s="38"/>
    </row>
    <row r="16" spans="2:24">
      <c r="B16" s="5" t="s">
        <v>8</v>
      </c>
      <c r="C16" s="4"/>
      <c r="D16" s="4"/>
      <c r="E16" s="4"/>
      <c r="F16" s="4"/>
      <c r="G16" s="44" t="s">
        <v>4</v>
      </c>
      <c r="H16" s="5" t="s">
        <v>7</v>
      </c>
      <c r="I16" s="58"/>
      <c r="J16" s="4"/>
      <c r="K16" s="4"/>
      <c r="L16" s="4"/>
      <c r="M16" s="4" t="s">
        <v>202</v>
      </c>
      <c r="N16" s="4"/>
      <c r="O16" s="4"/>
      <c r="P16" s="4"/>
      <c r="Q16" s="4"/>
      <c r="R16" s="29"/>
      <c r="S16" s="4" t="s">
        <v>1</v>
      </c>
      <c r="U16" t="s">
        <v>48</v>
      </c>
      <c r="V16" t="s">
        <v>54</v>
      </c>
      <c r="W16" t="s">
        <v>55</v>
      </c>
      <c r="X16" s="6" t="s">
        <v>56</v>
      </c>
    </row>
    <row r="17" spans="1:28">
      <c r="A17">
        <v>1</v>
      </c>
      <c r="B17" s="54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4"/>
      <c r="N17" s="4"/>
      <c r="O17" s="80"/>
      <c r="Q17" s="54"/>
      <c r="R17" s="29"/>
      <c r="S17" s="54"/>
      <c r="U17" s="23">
        <f>IF(R17=$G$9,1,IF(R17=$G$10,2,0))</f>
        <v>0</v>
      </c>
      <c r="V17" s="23">
        <f>IF(N17=$G$7,1,0)</f>
        <v>0</v>
      </c>
      <c r="W17" s="23">
        <f>IF(P17=$G$8,1,0)</f>
        <v>0</v>
      </c>
      <c r="X17" s="23">
        <f>IF(P17=$H$8,1,0)</f>
        <v>0</v>
      </c>
      <c r="Z17">
        <f t="shared" ref="Z17:Z31" si="0">IF(AND(F17=3,J17=1),0.206*S17,IF(AND(F17=3,J17=2),0.219*S17,IF(AND(F17=1,J17=2),0.275*S17,IF(AND(F17=1,J17=1),0.18*S17,0))))</f>
        <v>0</v>
      </c>
      <c r="AA17" t="str">
        <f>CONCATENATE(F17,"-",G17,"-",H17,"-",J17)</f>
        <v>---</v>
      </c>
      <c r="AB17" s="81" t="str">
        <f>IFERROR( INDEX(Трудоемк!B:B,MATCH(AA17,Трудоемк!A:A,0))*S17,"-")</f>
        <v>-</v>
      </c>
    </row>
    <row r="18" spans="1:28">
      <c r="A18">
        <f>1+A17</f>
        <v>2</v>
      </c>
      <c r="B18" s="54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4"/>
      <c r="N18" s="4"/>
      <c r="O18" s="80"/>
      <c r="Q18" s="54"/>
      <c r="R18" s="29"/>
      <c r="S18" s="54"/>
      <c r="U18" s="73">
        <f t="shared" ref="U18:U31" si="1">IF(R18=$G$9,1,IF(R18=$G$10,2,0))</f>
        <v>0</v>
      </c>
      <c r="V18" s="23">
        <f t="shared" ref="V18:V31" si="2">IF(N18=$G$7,1,0)</f>
        <v>0</v>
      </c>
      <c r="W18" s="23">
        <f t="shared" ref="W18:W31" si="3">IF(P18=$G$8,1,0)</f>
        <v>0</v>
      </c>
      <c r="X18" s="23">
        <f t="shared" ref="X18:X31" si="4">IF(P18=$H$8,1,0)</f>
        <v>0</v>
      </c>
      <c r="Z18">
        <f t="shared" si="0"/>
        <v>0</v>
      </c>
      <c r="AA18" t="str">
        <f t="shared" ref="AA18:AA31" si="5">CONCATENATE(F18,"-",G18,"-",H18,"-",J18)</f>
        <v>---</v>
      </c>
      <c r="AB18" s="81" t="str">
        <f>IFERROR( INDEX(Трудоемк!B:B,MATCH(AA18,Трудоемк!A:A,0))*S18,"-")</f>
        <v>-</v>
      </c>
    </row>
    <row r="19" spans="1:28">
      <c r="A19">
        <f t="shared" ref="A19:A31" si="6">1+A18</f>
        <v>3</v>
      </c>
      <c r="B19" s="98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4"/>
      <c r="N19" s="4"/>
      <c r="O19" s="80"/>
      <c r="Q19" s="54"/>
      <c r="R19" s="29"/>
      <c r="S19" s="54"/>
      <c r="U19" s="73">
        <f t="shared" si="1"/>
        <v>0</v>
      </c>
      <c r="V19" s="23">
        <f t="shared" si="2"/>
        <v>0</v>
      </c>
      <c r="W19" s="23">
        <f t="shared" si="3"/>
        <v>0</v>
      </c>
      <c r="X19" s="23">
        <f t="shared" si="4"/>
        <v>0</v>
      </c>
      <c r="Z19">
        <f t="shared" si="0"/>
        <v>0</v>
      </c>
      <c r="AA19" t="str">
        <f t="shared" si="5"/>
        <v>---</v>
      </c>
      <c r="AB19" s="81" t="str">
        <f>IFERROR( INDEX(Трудоемк!B:B,MATCH(AA19,Трудоемк!A:A,0))*S19,"-")</f>
        <v>-</v>
      </c>
    </row>
    <row r="20" spans="1:28">
      <c r="A20">
        <f t="shared" si="6"/>
        <v>4</v>
      </c>
      <c r="B20" s="98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4"/>
      <c r="N20" s="4"/>
      <c r="O20" s="80"/>
      <c r="P20" s="4"/>
      <c r="Q20" s="54"/>
      <c r="R20" s="29"/>
      <c r="S20" s="54"/>
      <c r="U20" s="73">
        <f t="shared" si="1"/>
        <v>0</v>
      </c>
      <c r="V20" s="23">
        <f t="shared" si="2"/>
        <v>0</v>
      </c>
      <c r="W20" s="23">
        <f t="shared" si="3"/>
        <v>0</v>
      </c>
      <c r="X20" s="23">
        <f t="shared" si="4"/>
        <v>0</v>
      </c>
      <c r="Z20">
        <f t="shared" si="0"/>
        <v>0</v>
      </c>
      <c r="AA20" t="str">
        <f t="shared" si="5"/>
        <v>---</v>
      </c>
      <c r="AB20" s="81" t="str">
        <f>IFERROR( INDEX(Трудоемк!B:B,MATCH(AA20,Трудоемк!A:A,0))*S20,"-")</f>
        <v>-</v>
      </c>
    </row>
    <row r="21" spans="1:28">
      <c r="A21">
        <f t="shared" si="6"/>
        <v>5</v>
      </c>
      <c r="B21" s="98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4"/>
      <c r="O21" s="80"/>
      <c r="P21" s="4"/>
      <c r="Q21" s="54"/>
      <c r="R21" s="29"/>
      <c r="S21" s="54"/>
      <c r="U21" s="73">
        <f t="shared" si="1"/>
        <v>0</v>
      </c>
      <c r="V21" s="23">
        <f t="shared" si="2"/>
        <v>0</v>
      </c>
      <c r="W21" s="23">
        <f t="shared" si="3"/>
        <v>0</v>
      </c>
      <c r="X21" s="23">
        <f t="shared" si="4"/>
        <v>0</v>
      </c>
      <c r="Z21">
        <f t="shared" si="0"/>
        <v>0</v>
      </c>
      <c r="AA21" t="str">
        <f t="shared" si="5"/>
        <v>---</v>
      </c>
      <c r="AB21" s="81" t="str">
        <f>IFERROR( INDEX(Трудоемк!B:B,MATCH(AA21,Трудоемк!A:A,0))*S21,"-")</f>
        <v>-</v>
      </c>
    </row>
    <row r="22" spans="1:28">
      <c r="A22">
        <f t="shared" si="6"/>
        <v>6</v>
      </c>
      <c r="B22" s="98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4"/>
      <c r="O22" s="80"/>
      <c r="P22" s="4"/>
      <c r="Q22" s="54"/>
      <c r="R22" s="29"/>
      <c r="S22" s="54"/>
      <c r="U22" s="73">
        <f t="shared" si="1"/>
        <v>0</v>
      </c>
      <c r="V22" s="23">
        <f t="shared" si="2"/>
        <v>0</v>
      </c>
      <c r="W22" s="23">
        <f t="shared" si="3"/>
        <v>0</v>
      </c>
      <c r="X22" s="23">
        <f t="shared" si="4"/>
        <v>0</v>
      </c>
      <c r="Z22">
        <f t="shared" si="0"/>
        <v>0</v>
      </c>
      <c r="AA22" t="str">
        <f t="shared" si="5"/>
        <v>---</v>
      </c>
      <c r="AB22" s="81" t="str">
        <f>IFERROR( INDEX(Трудоемк!B:B,MATCH(AA22,Трудоемк!A:A,0))*S22,"-")</f>
        <v>-</v>
      </c>
    </row>
    <row r="23" spans="1:28">
      <c r="A23">
        <f t="shared" si="6"/>
        <v>7</v>
      </c>
      <c r="B23" s="4"/>
      <c r="C23" s="4"/>
      <c r="D23" s="4"/>
      <c r="E23" s="4"/>
      <c r="F23" s="4"/>
      <c r="G23" s="4"/>
      <c r="H23" s="4"/>
      <c r="I23" s="80" t="s">
        <v>80</v>
      </c>
      <c r="J23" s="4"/>
      <c r="K23" s="4"/>
      <c r="L23" s="4"/>
      <c r="M23" s="82" t="s">
        <v>80</v>
      </c>
      <c r="N23" s="4"/>
      <c r="O23" s="82" t="s">
        <v>80</v>
      </c>
      <c r="P23" s="4"/>
      <c r="Q23" s="82" t="s">
        <v>80</v>
      </c>
      <c r="R23" s="4"/>
      <c r="S23" s="63"/>
      <c r="U23" s="73">
        <f t="shared" si="1"/>
        <v>0</v>
      </c>
      <c r="V23" s="23">
        <f t="shared" si="2"/>
        <v>0</v>
      </c>
      <c r="W23" s="23">
        <f t="shared" si="3"/>
        <v>0</v>
      </c>
      <c r="X23" s="23">
        <f t="shared" si="4"/>
        <v>0</v>
      </c>
      <c r="Z23">
        <f t="shared" si="0"/>
        <v>0</v>
      </c>
      <c r="AA23" t="str">
        <f t="shared" si="5"/>
        <v>---</v>
      </c>
      <c r="AB23" s="81" t="str">
        <f>IFERROR( INDEX(Трудоемк!B:B,MATCH(AA23,Трудоемк!A:A,0))*S23,"-")</f>
        <v>-</v>
      </c>
    </row>
    <row r="24" spans="1:28">
      <c r="A24">
        <f t="shared" si="6"/>
        <v>8</v>
      </c>
      <c r="B24" s="4"/>
      <c r="C24" s="4"/>
      <c r="D24" s="4"/>
      <c r="E24" s="4"/>
      <c r="F24" s="4"/>
      <c r="G24" s="4"/>
      <c r="H24" s="4"/>
      <c r="I24" s="80" t="s">
        <v>80</v>
      </c>
      <c r="J24" s="4"/>
      <c r="K24" s="4"/>
      <c r="L24" s="4"/>
      <c r="M24" s="82" t="s">
        <v>80</v>
      </c>
      <c r="N24" s="4"/>
      <c r="O24" s="82" t="s">
        <v>80</v>
      </c>
      <c r="P24" s="4"/>
      <c r="Q24" s="82" t="s">
        <v>80</v>
      </c>
      <c r="R24" s="4"/>
      <c r="S24" s="63"/>
      <c r="U24" s="73">
        <f t="shared" si="1"/>
        <v>0</v>
      </c>
      <c r="V24" s="23">
        <f t="shared" si="2"/>
        <v>0</v>
      </c>
      <c r="W24" s="23">
        <f t="shared" si="3"/>
        <v>0</v>
      </c>
      <c r="X24" s="23">
        <f t="shared" si="4"/>
        <v>0</v>
      </c>
      <c r="Z24">
        <f t="shared" si="0"/>
        <v>0</v>
      </c>
      <c r="AA24" t="str">
        <f t="shared" si="5"/>
        <v>---</v>
      </c>
      <c r="AB24" s="81" t="str">
        <f>IFERROR( INDEX(Трудоемк!B:B,MATCH(AA24,Трудоемк!A:A,0))*S24,"-")</f>
        <v>-</v>
      </c>
    </row>
    <row r="25" spans="1:28">
      <c r="A25">
        <f t="shared" si="6"/>
        <v>9</v>
      </c>
      <c r="B25" s="4"/>
      <c r="C25" s="4"/>
      <c r="D25" s="4"/>
      <c r="E25" s="4"/>
      <c r="F25" s="4"/>
      <c r="G25" s="4"/>
      <c r="H25" s="4"/>
      <c r="I25" s="80" t="s">
        <v>80</v>
      </c>
      <c r="J25" s="4"/>
      <c r="K25" s="4"/>
      <c r="L25" s="4"/>
      <c r="M25" s="82" t="s">
        <v>80</v>
      </c>
      <c r="N25" s="4"/>
      <c r="O25" s="82" t="s">
        <v>80</v>
      </c>
      <c r="P25" s="4"/>
      <c r="Q25" s="82" t="s">
        <v>80</v>
      </c>
      <c r="R25" s="4"/>
      <c r="S25" s="63"/>
      <c r="U25" s="73">
        <f t="shared" si="1"/>
        <v>0</v>
      </c>
      <c r="V25" s="23">
        <f t="shared" si="2"/>
        <v>0</v>
      </c>
      <c r="W25" s="23">
        <f t="shared" si="3"/>
        <v>0</v>
      </c>
      <c r="X25" s="23">
        <f t="shared" si="4"/>
        <v>0</v>
      </c>
      <c r="Z25">
        <f t="shared" si="0"/>
        <v>0</v>
      </c>
      <c r="AA25" t="str">
        <f t="shared" si="5"/>
        <v>---</v>
      </c>
      <c r="AB25" s="81" t="str">
        <f>IFERROR( INDEX(Трудоемк!B:B,MATCH(AA25,Трудоемк!A:A,0))*S25,"-")</f>
        <v>-</v>
      </c>
    </row>
    <row r="26" spans="1:28">
      <c r="A26">
        <f t="shared" si="6"/>
        <v>10</v>
      </c>
      <c r="B26" s="4"/>
      <c r="C26" s="4"/>
      <c r="D26" s="4"/>
      <c r="E26" s="4"/>
      <c r="F26" s="4"/>
      <c r="G26" s="4"/>
      <c r="H26" s="4"/>
      <c r="I26" s="80" t="s">
        <v>80</v>
      </c>
      <c r="J26" s="4"/>
      <c r="K26" s="4"/>
      <c r="L26" s="4"/>
      <c r="M26" s="82" t="s">
        <v>80</v>
      </c>
      <c r="N26" s="4"/>
      <c r="O26" s="82" t="s">
        <v>80</v>
      </c>
      <c r="P26" s="4"/>
      <c r="Q26" s="82" t="s">
        <v>80</v>
      </c>
      <c r="R26" s="4"/>
      <c r="S26" s="63"/>
      <c r="U26" s="73">
        <f t="shared" si="1"/>
        <v>0</v>
      </c>
      <c r="V26" s="23">
        <f t="shared" si="2"/>
        <v>0</v>
      </c>
      <c r="W26" s="23">
        <f t="shared" si="3"/>
        <v>0</v>
      </c>
      <c r="X26" s="23">
        <f t="shared" si="4"/>
        <v>0</v>
      </c>
      <c r="Z26">
        <f t="shared" si="0"/>
        <v>0</v>
      </c>
      <c r="AA26" t="str">
        <f t="shared" si="5"/>
        <v>---</v>
      </c>
      <c r="AB26" s="81" t="str">
        <f>IFERROR( INDEX(Трудоемк!B:B,MATCH(AA26,Трудоемк!A:A,0))*S26,"-")</f>
        <v>-</v>
      </c>
    </row>
    <row r="27" spans="1:28">
      <c r="A27">
        <f t="shared" si="6"/>
        <v>11</v>
      </c>
      <c r="B27" s="4"/>
      <c r="C27" s="4"/>
      <c r="D27" s="4"/>
      <c r="E27" s="4"/>
      <c r="F27" s="4"/>
      <c r="G27" s="4"/>
      <c r="H27" s="4"/>
      <c r="I27" s="80" t="s">
        <v>80</v>
      </c>
      <c r="J27" s="4"/>
      <c r="K27" s="4"/>
      <c r="L27" s="4"/>
      <c r="M27" s="82" t="s">
        <v>80</v>
      </c>
      <c r="N27" s="4"/>
      <c r="O27" s="82" t="s">
        <v>80</v>
      </c>
      <c r="P27" s="4"/>
      <c r="Q27" s="82" t="s">
        <v>80</v>
      </c>
      <c r="R27" s="4"/>
      <c r="S27" s="63"/>
      <c r="U27" s="73">
        <f t="shared" si="1"/>
        <v>0</v>
      </c>
      <c r="V27" s="23">
        <f t="shared" si="2"/>
        <v>0</v>
      </c>
      <c r="W27" s="23">
        <f t="shared" si="3"/>
        <v>0</v>
      </c>
      <c r="X27" s="23">
        <f t="shared" si="4"/>
        <v>0</v>
      </c>
      <c r="Z27">
        <f t="shared" si="0"/>
        <v>0</v>
      </c>
      <c r="AA27" t="str">
        <f t="shared" si="5"/>
        <v>---</v>
      </c>
      <c r="AB27" s="81" t="str">
        <f>IFERROR( INDEX(Трудоемк!B:B,MATCH(AA27,Трудоемк!A:A,0))*S27,"-")</f>
        <v>-</v>
      </c>
    </row>
    <row r="28" spans="1:28">
      <c r="A28">
        <f t="shared" si="6"/>
        <v>12</v>
      </c>
      <c r="B28" s="4"/>
      <c r="C28" s="4"/>
      <c r="D28" s="4"/>
      <c r="E28" s="4"/>
      <c r="F28" s="4"/>
      <c r="G28" s="4"/>
      <c r="H28" s="4"/>
      <c r="I28" s="80" t="s">
        <v>80</v>
      </c>
      <c r="J28" s="4"/>
      <c r="K28" s="4"/>
      <c r="L28" s="4"/>
      <c r="M28" s="82" t="s">
        <v>80</v>
      </c>
      <c r="N28" s="4"/>
      <c r="O28" s="82" t="s">
        <v>80</v>
      </c>
      <c r="P28" s="4"/>
      <c r="Q28" s="82" t="s">
        <v>80</v>
      </c>
      <c r="R28" s="4"/>
      <c r="S28" s="63"/>
      <c r="U28" s="73">
        <f t="shared" si="1"/>
        <v>0</v>
      </c>
      <c r="V28" s="23">
        <f t="shared" si="2"/>
        <v>0</v>
      </c>
      <c r="W28" s="23">
        <f t="shared" si="3"/>
        <v>0</v>
      </c>
      <c r="X28" s="23">
        <f t="shared" si="4"/>
        <v>0</v>
      </c>
      <c r="Z28">
        <f t="shared" si="0"/>
        <v>0</v>
      </c>
      <c r="AA28" t="str">
        <f t="shared" si="5"/>
        <v>---</v>
      </c>
      <c r="AB28" s="81" t="str">
        <f>IFERROR( INDEX(Трудоемк!B:B,MATCH(AA28,Трудоемк!A:A,0))*S28,"-")</f>
        <v>-</v>
      </c>
    </row>
    <row r="29" spans="1:28">
      <c r="A29">
        <f t="shared" si="6"/>
        <v>13</v>
      </c>
      <c r="B29" s="4"/>
      <c r="C29" s="4"/>
      <c r="D29" s="4"/>
      <c r="E29" s="4"/>
      <c r="F29" s="4"/>
      <c r="G29" s="4"/>
      <c r="H29" s="4"/>
      <c r="I29" s="80" t="s">
        <v>80</v>
      </c>
      <c r="J29" s="4"/>
      <c r="K29" s="4"/>
      <c r="L29" s="4"/>
      <c r="M29" s="82" t="s">
        <v>80</v>
      </c>
      <c r="N29" s="4"/>
      <c r="O29" s="82" t="s">
        <v>80</v>
      </c>
      <c r="P29" s="4"/>
      <c r="Q29" s="82" t="s">
        <v>80</v>
      </c>
      <c r="R29" s="4"/>
      <c r="S29" s="63"/>
      <c r="U29" s="73">
        <f t="shared" si="1"/>
        <v>0</v>
      </c>
      <c r="V29" s="23">
        <f t="shared" si="2"/>
        <v>0</v>
      </c>
      <c r="W29" s="23">
        <f t="shared" si="3"/>
        <v>0</v>
      </c>
      <c r="X29" s="23">
        <f t="shared" si="4"/>
        <v>0</v>
      </c>
      <c r="Z29">
        <f t="shared" si="0"/>
        <v>0</v>
      </c>
      <c r="AA29" t="str">
        <f t="shared" si="5"/>
        <v>---</v>
      </c>
      <c r="AB29" s="81" t="str">
        <f>IFERROR( INDEX(Трудоемк!B:B,MATCH(AA29,Трудоемк!A:A,0))*S29,"-")</f>
        <v>-</v>
      </c>
    </row>
    <row r="30" spans="1:28">
      <c r="A30">
        <f t="shared" si="6"/>
        <v>14</v>
      </c>
      <c r="B30" s="4"/>
      <c r="C30" s="4"/>
      <c r="D30" s="4"/>
      <c r="E30" s="4"/>
      <c r="F30" s="4"/>
      <c r="G30" s="4"/>
      <c r="H30" s="4"/>
      <c r="I30" s="80" t="s">
        <v>80</v>
      </c>
      <c r="J30" s="4"/>
      <c r="K30" s="4"/>
      <c r="L30" s="4"/>
      <c r="M30" s="82" t="s">
        <v>80</v>
      </c>
      <c r="N30" s="4"/>
      <c r="O30" s="82" t="s">
        <v>80</v>
      </c>
      <c r="P30" s="4"/>
      <c r="Q30" s="82" t="s">
        <v>80</v>
      </c>
      <c r="R30" s="4"/>
      <c r="S30" s="63"/>
      <c r="U30" s="73">
        <f t="shared" si="1"/>
        <v>0</v>
      </c>
      <c r="V30" s="23">
        <f t="shared" si="2"/>
        <v>0</v>
      </c>
      <c r="W30" s="23">
        <f t="shared" si="3"/>
        <v>0</v>
      </c>
      <c r="X30" s="23">
        <f t="shared" si="4"/>
        <v>0</v>
      </c>
      <c r="Z30">
        <f t="shared" si="0"/>
        <v>0</v>
      </c>
      <c r="AA30" t="str">
        <f t="shared" si="5"/>
        <v>---</v>
      </c>
      <c r="AB30" s="81" t="str">
        <f>IFERROR( INDEX(Трудоемк!B:B,MATCH(AA30,Трудоемк!A:A,0))*S30,"-")</f>
        <v>-</v>
      </c>
    </row>
    <row r="31" spans="1:28">
      <c r="A31">
        <f t="shared" si="6"/>
        <v>15</v>
      </c>
      <c r="B31" s="4"/>
      <c r="C31" s="4"/>
      <c r="D31" s="4"/>
      <c r="E31" s="4"/>
      <c r="F31" s="4"/>
      <c r="G31" s="4"/>
      <c r="H31" s="4"/>
      <c r="I31" s="80" t="s">
        <v>80</v>
      </c>
      <c r="J31" s="4"/>
      <c r="K31" s="4"/>
      <c r="L31" s="4"/>
      <c r="M31" s="82" t="s">
        <v>80</v>
      </c>
      <c r="N31" s="4"/>
      <c r="O31" s="82" t="s">
        <v>80</v>
      </c>
      <c r="P31" s="4"/>
      <c r="Q31" s="82" t="s">
        <v>80</v>
      </c>
      <c r="R31" s="4"/>
      <c r="S31" s="63"/>
      <c r="U31" s="73">
        <f t="shared" si="1"/>
        <v>0</v>
      </c>
      <c r="V31" s="23">
        <f t="shared" si="2"/>
        <v>0</v>
      </c>
      <c r="W31" s="23">
        <f t="shared" si="3"/>
        <v>0</v>
      </c>
      <c r="X31" s="23">
        <f t="shared" si="4"/>
        <v>0</v>
      </c>
      <c r="Z31">
        <f t="shared" si="0"/>
        <v>0</v>
      </c>
      <c r="AA31" t="str">
        <f t="shared" si="5"/>
        <v>---</v>
      </c>
      <c r="AB31" s="81" t="str">
        <f>IFERROR( INDEX(Трудоемк!B:B,MATCH(AA31,Трудоемк!A:A,0))*S31,"-")</f>
        <v>-</v>
      </c>
    </row>
    <row r="32" spans="1:28">
      <c r="B32" s="11"/>
      <c r="C32" s="11"/>
      <c r="D32" s="11"/>
      <c r="E32" s="11"/>
      <c r="F32" s="11"/>
      <c r="G32" s="11"/>
      <c r="H32" s="11"/>
      <c r="I32" s="244"/>
      <c r="J32" s="11"/>
      <c r="K32" s="11"/>
      <c r="L32" s="11"/>
      <c r="M32" s="244"/>
      <c r="N32" s="11"/>
      <c r="O32" s="244"/>
      <c r="P32" s="11"/>
      <c r="Q32" s="244"/>
      <c r="R32" s="11"/>
      <c r="S32" s="210"/>
      <c r="U32" s="206"/>
      <c r="V32" s="206"/>
      <c r="W32" s="206"/>
      <c r="X32" s="206"/>
      <c r="AB32" s="206"/>
    </row>
    <row r="33" spans="2:28">
      <c r="B33" s="11"/>
      <c r="C33" s="11"/>
      <c r="D33" s="11"/>
      <c r="E33" s="11"/>
      <c r="F33" s="11"/>
      <c r="G33" s="11"/>
      <c r="H33" s="11"/>
      <c r="I33" s="244"/>
      <c r="J33" s="11"/>
      <c r="K33" s="11"/>
      <c r="L33" s="11"/>
      <c r="M33" s="244"/>
      <c r="N33" s="11"/>
      <c r="O33" s="244"/>
      <c r="P33" s="11"/>
      <c r="Q33" s="244"/>
      <c r="R33" s="11"/>
      <c r="S33" s="210"/>
      <c r="U33" s="206"/>
      <c r="V33" s="206"/>
      <c r="W33" s="206"/>
      <c r="X33" s="206"/>
      <c r="AB33" s="206"/>
    </row>
    <row r="34" spans="2:28">
      <c r="B34" s="11"/>
      <c r="C34" s="11"/>
      <c r="D34" s="11"/>
      <c r="E34" s="11"/>
      <c r="F34" s="11"/>
      <c r="G34" s="11"/>
      <c r="H34" s="11"/>
      <c r="I34" s="244"/>
      <c r="J34" s="11"/>
      <c r="K34" s="11"/>
      <c r="L34" s="11"/>
      <c r="M34" s="244"/>
      <c r="N34" s="11"/>
      <c r="O34" s="244"/>
      <c r="P34" s="11"/>
      <c r="Q34" s="244"/>
      <c r="R34" s="11"/>
      <c r="S34" s="210"/>
      <c r="U34" s="206"/>
      <c r="V34" s="206"/>
      <c r="W34" s="206"/>
      <c r="X34" s="206"/>
      <c r="AB34" s="206"/>
    </row>
    <row r="35" spans="2:28">
      <c r="B35" s="11"/>
      <c r="C35" s="11"/>
      <c r="D35" s="11"/>
      <c r="E35" s="11"/>
      <c r="F35" s="11"/>
      <c r="G35" s="11"/>
      <c r="H35" s="11"/>
      <c r="I35" s="244"/>
      <c r="J35" s="11"/>
      <c r="K35" s="11"/>
      <c r="L35" s="11"/>
      <c r="M35" s="244"/>
      <c r="N35" s="11"/>
      <c r="O35" s="244"/>
      <c r="P35" s="11"/>
      <c r="Q35" s="244"/>
      <c r="R35" s="11"/>
      <c r="S35" s="210"/>
      <c r="U35" s="206"/>
      <c r="V35" s="206"/>
      <c r="W35" s="206"/>
      <c r="X35" s="206"/>
      <c r="AB35" s="206"/>
    </row>
    <row r="36" spans="2:28">
      <c r="B36" s="11"/>
      <c r="C36" s="11"/>
      <c r="D36" s="11"/>
      <c r="E36" s="11"/>
      <c r="F36" s="11"/>
      <c r="G36" s="11"/>
      <c r="H36" s="11"/>
      <c r="I36" s="244"/>
      <c r="J36" s="11"/>
      <c r="K36" s="11"/>
      <c r="L36" s="11"/>
      <c r="M36" s="244"/>
      <c r="N36" s="11"/>
      <c r="O36" s="244"/>
      <c r="P36" s="11"/>
      <c r="Q36" s="244"/>
      <c r="R36" s="11"/>
      <c r="S36" s="210"/>
      <c r="U36" s="206"/>
      <c r="V36" s="206"/>
      <c r="W36" s="206"/>
      <c r="X36" s="206"/>
      <c r="AB36" s="206"/>
    </row>
    <row r="37" spans="2:28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2:28">
      <c r="B38" s="11"/>
      <c r="C38" s="11"/>
      <c r="D38" s="11"/>
      <c r="E38" s="11"/>
      <c r="F38" s="11"/>
      <c r="G38" s="11" t="s">
        <v>71</v>
      </c>
      <c r="H38" s="89">
        <v>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2:28">
      <c r="G39" t="s">
        <v>10</v>
      </c>
      <c r="H39">
        <v>0</v>
      </c>
    </row>
    <row r="40" spans="2:28">
      <c r="G40" t="s">
        <v>92</v>
      </c>
      <c r="H40">
        <f>корпус!D35</f>
        <v>2.4420000000000002</v>
      </c>
    </row>
    <row r="41" spans="2:28">
      <c r="G41" t="s">
        <v>86</v>
      </c>
      <c r="H41">
        <f>Ножницы!G30+'Ножницы (3)'!H29+'Ножницы (4)'!H29+'Ножницы (2)'!H30</f>
        <v>1.0880000000000001</v>
      </c>
    </row>
    <row r="42" spans="2:28">
      <c r="G42" t="s">
        <v>93</v>
      </c>
      <c r="H42">
        <f>МРП!D35</f>
        <v>0</v>
      </c>
    </row>
    <row r="43" spans="2:28">
      <c r="G43" t="s">
        <v>94</v>
      </c>
      <c r="H43">
        <f>Сетка!F35</f>
        <v>0</v>
      </c>
    </row>
    <row r="44" spans="2:28">
      <c r="G44" t="s">
        <v>143</v>
      </c>
      <c r="I44" s="94">
        <f>корпус!D34</f>
        <v>0.76800000000000002</v>
      </c>
    </row>
    <row r="45" spans="2:28">
      <c r="G45" t="s">
        <v>104</v>
      </c>
      <c r="H45" s="94">
        <f>H40+H41+H42+H43+I44</f>
        <v>4.298</v>
      </c>
    </row>
  </sheetData>
  <pageMargins left="7.874015748031496E-2" right="7.874015748031496E-2" top="0.74803149606299213" bottom="0.74803149606299213" header="0.31496062992125984" footer="0.31496062992125984"/>
  <pageSetup paperSize="9" scale="8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A41" sqref="A41"/>
    </sheetView>
  </sheetViews>
  <sheetFormatPr defaultRowHeight="15"/>
  <cols>
    <col min="1" max="1" width="20" customWidth="1"/>
  </cols>
  <sheetData>
    <row r="1" spans="1:2">
      <c r="A1" t="s">
        <v>105</v>
      </c>
      <c r="B1">
        <v>0</v>
      </c>
    </row>
    <row r="2" spans="1:2">
      <c r="A2" t="s">
        <v>107</v>
      </c>
      <c r="B2">
        <v>3.67</v>
      </c>
    </row>
    <row r="3" spans="1:2">
      <c r="A3" t="s">
        <v>108</v>
      </c>
      <c r="B3">
        <v>3.7</v>
      </c>
    </row>
    <row r="4" spans="1:2">
      <c r="A4" t="s">
        <v>109</v>
      </c>
      <c r="B4">
        <v>3.79</v>
      </c>
    </row>
    <row r="5" spans="1:2">
      <c r="A5" t="s">
        <v>110</v>
      </c>
      <c r="B5">
        <v>5.4</v>
      </c>
    </row>
    <row r="6" spans="1:2">
      <c r="A6" t="s">
        <v>111</v>
      </c>
      <c r="B6">
        <v>5.39</v>
      </c>
    </row>
    <row r="7" spans="1:2">
      <c r="A7" t="s">
        <v>112</v>
      </c>
      <c r="B7">
        <v>4.08</v>
      </c>
    </row>
    <row r="8" spans="1:2">
      <c r="A8" s="21" t="s">
        <v>106</v>
      </c>
      <c r="B8" s="21">
        <v>2</v>
      </c>
    </row>
    <row r="9" spans="1:2">
      <c r="A9" t="s">
        <v>113</v>
      </c>
      <c r="B9">
        <v>5.7</v>
      </c>
    </row>
    <row r="10" spans="1:2">
      <c r="A10" t="s">
        <v>114</v>
      </c>
      <c r="B10">
        <v>5.9</v>
      </c>
    </row>
    <row r="11" spans="1:2">
      <c r="A11" t="s">
        <v>115</v>
      </c>
      <c r="B11">
        <v>4.6500000000000004</v>
      </c>
    </row>
    <row r="12" spans="1:2">
      <c r="A12" t="s">
        <v>117</v>
      </c>
      <c r="B12">
        <v>5.85</v>
      </c>
    </row>
    <row r="13" spans="1:2">
      <c r="A13" t="s">
        <v>116</v>
      </c>
      <c r="B13">
        <v>5.71</v>
      </c>
    </row>
    <row r="14" spans="1:2">
      <c r="A14" t="s">
        <v>118</v>
      </c>
      <c r="B14">
        <v>6.03</v>
      </c>
    </row>
    <row r="15" spans="1:2">
      <c r="A15" t="s">
        <v>119</v>
      </c>
      <c r="B15">
        <v>4.45</v>
      </c>
    </row>
    <row r="16" spans="1:2">
      <c r="A16" t="s">
        <v>120</v>
      </c>
      <c r="B16">
        <v>3.84</v>
      </c>
    </row>
    <row r="17" spans="1:2">
      <c r="A17" t="s">
        <v>121</v>
      </c>
      <c r="B17">
        <v>3.98</v>
      </c>
    </row>
    <row r="18" spans="1:2">
      <c r="A18" t="s">
        <v>122</v>
      </c>
      <c r="B18">
        <v>4.68</v>
      </c>
    </row>
    <row r="19" spans="1:2">
      <c r="A19" t="s">
        <v>123</v>
      </c>
      <c r="B19">
        <v>4.7300000000000004</v>
      </c>
    </row>
    <row r="20" spans="1:2">
      <c r="A20" t="s">
        <v>124</v>
      </c>
      <c r="B20">
        <v>3.67</v>
      </c>
    </row>
    <row r="22" spans="1:2">
      <c r="B22">
        <v>400</v>
      </c>
    </row>
    <row r="23" spans="1:2">
      <c r="B23">
        <v>400</v>
      </c>
    </row>
    <row r="24" spans="1:2">
      <c r="B24">
        <v>400</v>
      </c>
    </row>
    <row r="25" spans="1:2">
      <c r="B25">
        <v>400</v>
      </c>
    </row>
    <row r="26" spans="1:2">
      <c r="B26">
        <v>400</v>
      </c>
    </row>
    <row r="27" spans="1:2">
      <c r="B27">
        <v>400</v>
      </c>
    </row>
    <row r="28" spans="1:2">
      <c r="B28">
        <v>400</v>
      </c>
    </row>
    <row r="29" spans="1:2">
      <c r="B29">
        <v>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W46"/>
  <sheetViews>
    <sheetView zoomScale="53" zoomScaleNormal="53" workbookViewId="0">
      <selection activeCell="AO35" sqref="AG30:AO35"/>
    </sheetView>
  </sheetViews>
  <sheetFormatPr defaultRowHeight="15"/>
  <cols>
    <col min="5" max="5" width="3.42578125" customWidth="1"/>
    <col min="6" max="6" width="11.28515625" customWidth="1"/>
    <col min="7" max="7" width="46" customWidth="1"/>
    <col min="8" max="8" width="0" hidden="1" customWidth="1"/>
    <col min="9" max="9" width="9.28515625" customWidth="1"/>
    <col min="11" max="12" width="0" hidden="1" customWidth="1"/>
    <col min="13" max="13" width="23.85546875" customWidth="1"/>
    <col min="14" max="14" width="20.42578125" customWidth="1"/>
    <col min="15" max="16" width="12.7109375" customWidth="1"/>
    <col min="17" max="17" width="6.140625" customWidth="1"/>
    <col min="18" max="18" width="8.5703125" customWidth="1"/>
    <col min="19" max="20" width="13.28515625" customWidth="1"/>
    <col min="22" max="22" width="0" hidden="1" customWidth="1"/>
    <col min="23" max="23" width="12.7109375" customWidth="1"/>
    <col min="24" max="24" width="8.140625" customWidth="1"/>
    <col min="25" max="25" width="11.5703125" customWidth="1"/>
    <col min="26" max="26" width="7.28515625" customWidth="1"/>
    <col min="27" max="27" width="11.28515625" customWidth="1"/>
    <col min="28" max="28" width="7" customWidth="1"/>
    <col min="29" max="29" width="7.42578125" customWidth="1"/>
    <col min="30" max="30" width="17.28515625" customWidth="1"/>
    <col min="31" max="31" width="9.5703125" customWidth="1"/>
    <col min="32" max="32" width="11.5703125" customWidth="1"/>
    <col min="33" max="33" width="11.85546875" customWidth="1"/>
    <col min="34" max="34" width="13.7109375" customWidth="1"/>
    <col min="35" max="35" width="18" customWidth="1"/>
    <col min="37" max="37" width="8.42578125" customWidth="1"/>
    <col min="38" max="38" width="9.7109375" customWidth="1"/>
    <col min="39" max="39" width="7.5703125" customWidth="1"/>
    <col min="40" max="40" width="9.7109375" customWidth="1"/>
    <col min="41" max="41" width="7.28515625" customWidth="1"/>
    <col min="44" max="46" width="0" hidden="1" customWidth="1"/>
    <col min="47" max="47" width="0" style="279" hidden="1" customWidth="1"/>
    <col min="48" max="51" width="0" hidden="1" customWidth="1"/>
  </cols>
  <sheetData>
    <row r="1" spans="2:49">
      <c r="E1" t="s">
        <v>49</v>
      </c>
    </row>
    <row r="2" spans="2:49" ht="46.5">
      <c r="E2" s="34" t="s">
        <v>149</v>
      </c>
      <c r="F2" s="114"/>
      <c r="G2" s="115"/>
      <c r="H2" s="115"/>
      <c r="I2" s="116"/>
      <c r="R2" s="20"/>
      <c r="Z2" s="392">
        <f>B3</f>
        <v>2222</v>
      </c>
      <c r="AA2" s="392"/>
      <c r="AB2" s="392"/>
      <c r="AC2" s="392"/>
      <c r="AD2" s="116"/>
    </row>
    <row r="3" spans="2:49" ht="26.25">
      <c r="B3" s="424">
        <f>'Исходные данные'!H13</f>
        <v>2222</v>
      </c>
      <c r="C3" s="424"/>
      <c r="F3" s="117"/>
      <c r="G3" s="117"/>
      <c r="H3" s="117"/>
      <c r="I3" s="116"/>
    </row>
    <row r="4" spans="2:49" ht="27.75" customHeight="1" thickBot="1">
      <c r="B4" s="424"/>
      <c r="C4" s="424"/>
      <c r="F4" s="425" t="s">
        <v>150</v>
      </c>
      <c r="G4" s="426"/>
      <c r="H4" s="426"/>
      <c r="I4" s="426"/>
      <c r="J4" s="426"/>
      <c r="K4" s="426"/>
      <c r="L4" s="426"/>
      <c r="M4" s="426"/>
      <c r="N4" s="426"/>
      <c r="O4" s="426"/>
      <c r="P4" s="426"/>
      <c r="Q4" s="426"/>
      <c r="R4" s="426"/>
      <c r="S4" s="426"/>
      <c r="T4" s="426"/>
      <c r="U4" s="426"/>
      <c r="V4" s="426"/>
      <c r="W4" s="426"/>
      <c r="X4" s="426"/>
      <c r="Y4" s="426"/>
      <c r="Z4" s="426"/>
      <c r="AA4" s="426"/>
      <c r="AB4" s="426"/>
      <c r="AC4" s="426"/>
      <c r="AD4" s="426"/>
      <c r="AE4" s="426"/>
      <c r="AF4" s="426"/>
      <c r="AG4" s="426"/>
      <c r="AH4" s="426"/>
      <c r="AI4" s="426"/>
      <c r="AJ4" s="426"/>
      <c r="AK4" s="426"/>
      <c r="AL4" s="426"/>
    </row>
    <row r="5" spans="2:49" ht="80.25" customHeight="1">
      <c r="B5" s="424"/>
      <c r="C5" s="424"/>
      <c r="D5" s="118"/>
      <c r="E5" s="295" t="s">
        <v>151</v>
      </c>
      <c r="F5" s="121" t="s">
        <v>152</v>
      </c>
      <c r="G5" s="121" t="s">
        <v>153</v>
      </c>
      <c r="H5" s="296" t="s">
        <v>154</v>
      </c>
      <c r="I5" s="122" t="s">
        <v>244</v>
      </c>
      <c r="J5" s="122" t="s">
        <v>245</v>
      </c>
      <c r="K5" s="122"/>
      <c r="L5" s="122" t="s">
        <v>155</v>
      </c>
      <c r="M5" s="202" t="s">
        <v>196</v>
      </c>
      <c r="N5" s="202" t="s">
        <v>230</v>
      </c>
      <c r="O5" s="202" t="s">
        <v>231</v>
      </c>
      <c r="P5" s="202" t="s">
        <v>232</v>
      </c>
      <c r="Q5" s="122" t="s">
        <v>156</v>
      </c>
      <c r="R5" s="297" t="s">
        <v>157</v>
      </c>
      <c r="S5" s="428" t="s">
        <v>174</v>
      </c>
      <c r="T5" s="428"/>
      <c r="U5" s="297" t="s">
        <v>157</v>
      </c>
      <c r="V5" s="122" t="s">
        <v>156</v>
      </c>
      <c r="W5" s="427" t="s">
        <v>262</v>
      </c>
      <c r="X5" s="427"/>
      <c r="Y5" s="428" t="s">
        <v>260</v>
      </c>
      <c r="Z5" s="428"/>
      <c r="AA5" s="427" t="s">
        <v>259</v>
      </c>
      <c r="AB5" s="427"/>
      <c r="AC5" s="427"/>
      <c r="AD5" s="427" t="s">
        <v>258</v>
      </c>
      <c r="AE5" s="427"/>
      <c r="AF5" s="432" t="s">
        <v>270</v>
      </c>
      <c r="AG5" s="433"/>
      <c r="AH5" s="429" t="s">
        <v>175</v>
      </c>
      <c r="AI5" s="429"/>
      <c r="AJ5" s="429"/>
      <c r="AK5" s="430" t="s">
        <v>25</v>
      </c>
      <c r="AL5" s="430"/>
      <c r="AM5" s="430"/>
      <c r="AN5" s="430"/>
      <c r="AO5" s="431"/>
      <c r="AS5" s="420" t="s">
        <v>246</v>
      </c>
      <c r="AT5" s="421"/>
      <c r="AU5" s="418" t="s">
        <v>3</v>
      </c>
      <c r="AV5" s="422" t="s">
        <v>247</v>
      </c>
      <c r="AW5" s="423"/>
    </row>
    <row r="6" spans="2:49" ht="39" customHeight="1" thickBot="1">
      <c r="B6" s="424"/>
      <c r="C6" s="424"/>
      <c r="D6" s="118"/>
      <c r="E6" s="298"/>
      <c r="F6" s="125"/>
      <c r="G6" s="125"/>
      <c r="H6" s="299"/>
      <c r="I6" s="126" t="s">
        <v>158</v>
      </c>
      <c r="J6" s="126" t="s">
        <v>159</v>
      </c>
      <c r="K6" s="126"/>
      <c r="L6" s="126"/>
      <c r="M6" s="126" t="s">
        <v>197</v>
      </c>
      <c r="N6" s="126" t="s">
        <v>197</v>
      </c>
      <c r="O6" s="126" t="s">
        <v>233</v>
      </c>
      <c r="P6" s="126" t="s">
        <v>233</v>
      </c>
      <c r="Q6" s="126"/>
      <c r="R6" s="126" t="s">
        <v>173</v>
      </c>
      <c r="S6" s="126" t="s">
        <v>158</v>
      </c>
      <c r="T6" s="126" t="s">
        <v>159</v>
      </c>
      <c r="U6" s="126" t="s">
        <v>173</v>
      </c>
      <c r="V6" s="126"/>
      <c r="W6" s="300" t="s">
        <v>23</v>
      </c>
      <c r="X6" s="300" t="s">
        <v>173</v>
      </c>
      <c r="Y6" s="300" t="s">
        <v>23</v>
      </c>
      <c r="Z6" s="300" t="s">
        <v>173</v>
      </c>
      <c r="AA6" s="300" t="s">
        <v>23</v>
      </c>
      <c r="AB6" s="300" t="s">
        <v>178</v>
      </c>
      <c r="AC6" s="300" t="s">
        <v>173</v>
      </c>
      <c r="AD6" s="300" t="s">
        <v>23</v>
      </c>
      <c r="AE6" s="300" t="s">
        <v>173</v>
      </c>
      <c r="AF6" s="300" t="s">
        <v>159</v>
      </c>
      <c r="AG6" s="300" t="s">
        <v>173</v>
      </c>
      <c r="AH6" s="300" t="s">
        <v>176</v>
      </c>
      <c r="AI6" s="300" t="s">
        <v>177</v>
      </c>
      <c r="AJ6" s="300" t="s">
        <v>1</v>
      </c>
      <c r="AK6" s="126" t="s">
        <v>179</v>
      </c>
      <c r="AL6" s="301" t="s">
        <v>62</v>
      </c>
      <c r="AM6" s="300" t="s">
        <v>82</v>
      </c>
      <c r="AN6" s="300" t="str">
        <f>МРП!D16</f>
        <v>Стенка верт</v>
      </c>
      <c r="AO6" s="302" t="str">
        <f>МРП!E16</f>
        <v>Кол-во рубов м.р. верт-ой</v>
      </c>
      <c r="AS6" s="282" t="s">
        <v>158</v>
      </c>
      <c r="AT6" s="282" t="s">
        <v>159</v>
      </c>
      <c r="AU6" s="419"/>
      <c r="AV6" s="282" t="s">
        <v>158</v>
      </c>
      <c r="AW6" s="282" t="s">
        <v>159</v>
      </c>
    </row>
    <row r="7" spans="2:49" ht="23.25">
      <c r="B7" s="424"/>
      <c r="C7" s="424"/>
      <c r="E7" s="294">
        <v>1</v>
      </c>
      <c r="F7" s="307">
        <f>'Исходные данные'!B17</f>
        <v>0</v>
      </c>
      <c r="G7" s="306" t="str">
        <f>CONCATENATE('Исходные данные'!C17,'Исходные данные'!D17,'Исходные данные'!E17,'Исходные данные'!F17,"  ",'Исходные данные'!G17,"x",'Исходные данные'!H17,'Исходные данные'!I17,'Исходные данные'!J17,'Исходные данные'!K17, "-",'Исходные данные'!L17,'Исходные данные'!M17,'Исходные данные'!N17,'Исходные данные'!O17,'Исходные данные'!P17,'Исходные данные'!Q17,'Исходные данные'!R17)</f>
        <v xml:space="preserve">  x-</v>
      </c>
      <c r="H7" s="293"/>
      <c r="I7" s="303">
        <f>'Исходные данные'!G17</f>
        <v>0</v>
      </c>
      <c r="J7" s="304">
        <f>'Исходные данные'!H17</f>
        <v>0</v>
      </c>
      <c r="K7" s="304"/>
      <c r="L7" s="304"/>
      <c r="M7" s="304">
        <f>IF(корпус!F17&gt;1,'Исходные данные'!H17+44.6,0)</f>
        <v>0</v>
      </c>
      <c r="N7" s="304">
        <f>IF(корпус!F17&gt;1,'Исходные данные'!H17-3,0)</f>
        <v>0</v>
      </c>
      <c r="O7" s="304">
        <f>IF(корпус!G17&gt;1,'Исходные данные'!G17+45,0)</f>
        <v>0</v>
      </c>
      <c r="P7" s="304">
        <f>IF(корпус!G17&gt;1,'Исходные данные'!G17-3,0)</f>
        <v>0</v>
      </c>
      <c r="Q7" s="304" t="str">
        <f>IF(I7&gt;0,"ОЦ","---")</f>
        <v>---</v>
      </c>
      <c r="R7" s="304">
        <f>'Исходные данные'!S17</f>
        <v>0</v>
      </c>
      <c r="S7" s="304">
        <f>IF(корпус!F17&gt;1,'Исходные данные'!G17/корпус!F17-12.5*(корпус!F17-1)+22,'Исходные данные'!G17+22)</f>
        <v>22</v>
      </c>
      <c r="T7" s="304">
        <f>IF(корпус!G17&gt;1,'Исходные данные'!H17/корпус!G17-12.5*(корпус!G17-1)+22,'Исходные данные'!H17+22)</f>
        <v>22</v>
      </c>
      <c r="U7" s="304">
        <f>корпус!H17</f>
        <v>0</v>
      </c>
      <c r="V7" s="304" t="str">
        <f>Q7</f>
        <v>---</v>
      </c>
      <c r="W7" s="304">
        <f>'Исходные данные'!G17/корпус!F17-12.5*(корпус!F17-1)-3</f>
        <v>-3</v>
      </c>
      <c r="X7" s="304">
        <f>'Исходные данные'!S17</f>
        <v>0</v>
      </c>
      <c r="Y7" s="304">
        <f>'Исходные данные'!G17/корпус!F17-12.5*(корпус!F17-1)-3</f>
        <v>-3</v>
      </c>
      <c r="Z7" s="304">
        <f>'Исходные данные'!S17</f>
        <v>0</v>
      </c>
      <c r="AA7" s="304">
        <f>IF('Исходные данные'!H17&gt;0,'Исходные данные'!H17/корпус!G17-12.5*(корпус!G17-1)-'Задание на ТРУМПФ'!AU7-58.5,0)</f>
        <v>0</v>
      </c>
      <c r="AB7" s="304">
        <f>IF(J7&lt;400,30,IF(J7&lt;450,95,IF(J7&lt;=1200,135,0)))</f>
        <v>30</v>
      </c>
      <c r="AC7" s="304">
        <f>Z7*2</f>
        <v>0</v>
      </c>
      <c r="AD7" s="303">
        <f>IF(AB7=135,102,IF(AB7=95,62,IF(AB7=30,0,0)))</f>
        <v>0</v>
      </c>
      <c r="AE7" s="303">
        <f>AC7</f>
        <v>0</v>
      </c>
      <c r="AF7" s="303">
        <v>0</v>
      </c>
      <c r="AG7" s="303">
        <v>0</v>
      </c>
      <c r="AH7" s="303" t="str">
        <f>Сетка!B17</f>
        <v>---</v>
      </c>
      <c r="AI7" s="303" t="str">
        <f>IF(AH7="решетка жалюзийная",S7,IF(AH7="сетка",S7,"0х0"))</f>
        <v>0х0</v>
      </c>
      <c r="AJ7" s="303">
        <f>R7</f>
        <v>0</v>
      </c>
      <c r="AK7" s="303">
        <f>МРП!F17</f>
        <v>0</v>
      </c>
      <c r="AL7" s="303">
        <f>МРП!B17</f>
        <v>0</v>
      </c>
      <c r="AM7" s="303">
        <f>МРП!C17</f>
        <v>0</v>
      </c>
      <c r="AN7" s="303">
        <f>МРП!D17</f>
        <v>0</v>
      </c>
      <c r="AO7" s="305">
        <f>МРП!E17</f>
        <v>0</v>
      </c>
      <c r="AS7" s="4">
        <f>IF(корпус!F17&gt;1,'Исходные данные'!G17/корпус!F17-12.5*(корпус!F17-1)-14,IF(корпус!F17=1,'Исходные данные'!G17-14,))</f>
        <v>-14</v>
      </c>
      <c r="AT7" s="4">
        <f>IF(корпус!G17&gt;1,'Исходные данные'!H17/корпус!G17-12.5*(корпус!G17-1)-14,IF(корпус!G17=1,'Исходные данные'!H17-14,))</f>
        <v>-14</v>
      </c>
      <c r="AU7" s="278">
        <f>IF(AW7&lt;400,30,IF(AW7&lt;450,95,IF(AW7&lt;1300,135,0)))</f>
        <v>30</v>
      </c>
      <c r="AV7" s="4">
        <f>IF('Исходные данные'!G17&gt;1500,'Исходные данные'!G17-25/2,'Исходные данные'!G17)</f>
        <v>0</v>
      </c>
      <c r="AW7" s="4">
        <f>IF('Исходные данные'!H17&gt;1300,('Исходные данные'!H17-25)/2,'Исходные данные'!H17)</f>
        <v>0</v>
      </c>
    </row>
    <row r="8" spans="2:49" ht="42" customHeight="1">
      <c r="B8" s="424"/>
      <c r="C8" s="424"/>
      <c r="E8" s="294">
        <v>2</v>
      </c>
      <c r="F8" s="307">
        <f>'Исходные данные'!B18</f>
        <v>0</v>
      </c>
      <c r="G8" s="306" t="str">
        <f>CONCATENATE('Исходные данные'!C18,'Исходные данные'!D18,'Исходные данные'!E18,'Исходные данные'!F18,"  ",'Исходные данные'!G18,"x",'Исходные данные'!H18,'Исходные данные'!I18,'Исходные данные'!J18,'Исходные данные'!K18, "-",'Исходные данные'!L18,'Исходные данные'!M18,'Исходные данные'!N18,'Исходные данные'!O18,'Исходные данные'!P18,'Исходные данные'!Q18,'Исходные данные'!R18)</f>
        <v xml:space="preserve">  x-</v>
      </c>
      <c r="H8" s="347"/>
      <c r="I8" s="303">
        <f>'Исходные данные'!G18</f>
        <v>0</v>
      </c>
      <c r="J8" s="304">
        <f>'Исходные данные'!H18</f>
        <v>0</v>
      </c>
      <c r="K8" s="304"/>
      <c r="L8" s="304"/>
      <c r="M8" s="304">
        <f>IF(корпус!F18&gt;1,'Исходные данные'!H18+44.6,0)</f>
        <v>0</v>
      </c>
      <c r="N8" s="304">
        <f>IF(корпус!F18&gt;1,'Исходные данные'!H18-3,0)</f>
        <v>0</v>
      </c>
      <c r="O8" s="304">
        <f>IF(корпус!G18&gt;1,'Исходные данные'!G18+45,0)</f>
        <v>0</v>
      </c>
      <c r="P8" s="304">
        <f>IF(корпус!G18&gt;1,'Исходные данные'!G18-3,0)</f>
        <v>0</v>
      </c>
      <c r="Q8" s="304" t="str">
        <f t="shared" ref="Q8:Q27" si="0">IF(I8&gt;0,"ОЦ","---")</f>
        <v>---</v>
      </c>
      <c r="R8" s="304">
        <f>'Исходные данные'!S18</f>
        <v>0</v>
      </c>
      <c r="S8" s="304">
        <f>IF(корпус!F18&gt;1,'Исходные данные'!G18/корпус!F18-12.5*(корпус!F18-1)+22,'Исходные данные'!G18+22)</f>
        <v>22</v>
      </c>
      <c r="T8" s="304">
        <f>IF(корпус!G18&gt;1,'Исходные данные'!H18/корпус!G18-12.5*(корпус!G18-1)+22,'Исходные данные'!H18+22)</f>
        <v>22</v>
      </c>
      <c r="U8" s="304">
        <f>корпус!H18</f>
        <v>0</v>
      </c>
      <c r="V8" s="304" t="str">
        <f t="shared" ref="V8:V27" si="1">Q8</f>
        <v>---</v>
      </c>
      <c r="W8" s="304">
        <f>'Исходные данные'!G18/корпус!F18-12.5*(корпус!F18-1)-3</f>
        <v>-3</v>
      </c>
      <c r="X8" s="304">
        <f>'Исходные данные'!S18</f>
        <v>0</v>
      </c>
      <c r="Y8" s="304">
        <f>'Исходные данные'!G18/корпус!F18-12.5*(корпус!F18-1)-3</f>
        <v>-3</v>
      </c>
      <c r="Z8" s="304">
        <f>'Исходные данные'!S18</f>
        <v>0</v>
      </c>
      <c r="AA8" s="304">
        <f>IF('Исходные данные'!H18&gt;0,'Исходные данные'!H18/корпус!G18-12.5*(корпус!G18-1)-'Задание на ТРУМПФ'!AU8-58.5,0)</f>
        <v>0</v>
      </c>
      <c r="AB8" s="304">
        <f t="shared" ref="AB8:AB27" si="2">IF(J8&lt;400,30,IF(J8&lt;450,95,IF(J8&lt;=1200,135,0)))</f>
        <v>30</v>
      </c>
      <c r="AC8" s="304">
        <f t="shared" ref="AC8:AC27" si="3">Z8*2</f>
        <v>0</v>
      </c>
      <c r="AD8" s="303">
        <f t="shared" ref="AD8:AD27" si="4">IF(AB8=135,102,IF(AB8=95,62,IF(AB8=30,0,0)))</f>
        <v>0</v>
      </c>
      <c r="AE8" s="303">
        <f t="shared" ref="AE8:AE27" si="5">AC8</f>
        <v>0</v>
      </c>
      <c r="AF8" s="303">
        <v>0</v>
      </c>
      <c r="AG8" s="303">
        <v>0</v>
      </c>
      <c r="AH8" s="303" t="str">
        <f>Сетка!B18</f>
        <v>---</v>
      </c>
      <c r="AI8" s="303" t="str">
        <f t="shared" ref="AI8:AI27" si="6">IF(AH8="решетка жалюзийная",S8,IF(AH8="сетка",S8,"0х0"))</f>
        <v>0х0</v>
      </c>
      <c r="AJ8" s="303">
        <f t="shared" ref="AJ8:AJ27" si="7">R8</f>
        <v>0</v>
      </c>
      <c r="AK8" s="303">
        <f>МРП!F18</f>
        <v>0</v>
      </c>
      <c r="AL8" s="303">
        <f>МРП!B18</f>
        <v>0</v>
      </c>
      <c r="AM8" s="303">
        <f>МРП!C18</f>
        <v>0</v>
      </c>
      <c r="AN8" s="303">
        <f>МРП!D18</f>
        <v>0</v>
      </c>
      <c r="AO8" s="305">
        <f>МРП!E18</f>
        <v>0</v>
      </c>
      <c r="AS8" s="4">
        <f>IF(корпус!F18&gt;1,'Исходные данные'!G18/корпус!F18-12.5*(корпус!F18-1)-14,IF(корпус!F18=1,'Исходные данные'!G18-14,))</f>
        <v>-14</v>
      </c>
      <c r="AT8" s="4">
        <f>IF(корпус!G18&gt;1,'Исходные данные'!H18/корпус!G18-12.5*(корпус!G18-1)-14,IF(корпус!G18=1,'Исходные данные'!H18-14,))</f>
        <v>-14</v>
      </c>
      <c r="AU8" s="278">
        <f t="shared" ref="AU8:AU21" si="8">IF(AW8&lt;400,30,IF(AW8&lt;450,95,IF(AW8&lt;1300,135,0)))</f>
        <v>30</v>
      </c>
      <c r="AV8" s="4">
        <f>IF('Исходные данные'!G18&gt;1500,'Исходные данные'!G18-25/2,'Исходные данные'!G18)</f>
        <v>0</v>
      </c>
      <c r="AW8" s="4">
        <f>IF('Исходные данные'!H18&gt;1300,'Исходные данные'!H18-25/2,'Исходные данные'!H18)</f>
        <v>0</v>
      </c>
    </row>
    <row r="9" spans="2:49" ht="29.25" customHeight="1">
      <c r="B9" s="414" t="s">
        <v>160</v>
      </c>
      <c r="E9" s="294">
        <v>3</v>
      </c>
      <c r="F9" s="307">
        <f>'Исходные данные'!B19</f>
        <v>0</v>
      </c>
      <c r="G9" s="306" t="str">
        <f>CONCATENATE('Исходные данные'!C19,'Исходные данные'!D19,'Исходные данные'!E19,'Исходные данные'!F19,"  ",'Исходные данные'!G19,"x",'Исходные данные'!H19,'Исходные данные'!I19,'Исходные данные'!J19,'Исходные данные'!K19, "-",'Исходные данные'!L19,'Исходные данные'!M19,'Исходные данные'!N19,'Исходные данные'!O19,'Исходные данные'!P19,'Исходные данные'!Q19,'Исходные данные'!R19)</f>
        <v xml:space="preserve">  x-</v>
      </c>
      <c r="H9" s="347"/>
      <c r="I9" s="303">
        <f>'Исходные данные'!G19</f>
        <v>0</v>
      </c>
      <c r="J9" s="304">
        <f>'Исходные данные'!H19</f>
        <v>0</v>
      </c>
      <c r="K9" s="304"/>
      <c r="L9" s="304"/>
      <c r="M9" s="304">
        <f>IF(корпус!F19&gt;1,'Исходные данные'!H19+44.6,0)</f>
        <v>0</v>
      </c>
      <c r="N9" s="304">
        <f>IF(корпус!F19&gt;1,'Исходные данные'!H19-3,0)</f>
        <v>0</v>
      </c>
      <c r="O9" s="304">
        <f>IF(корпус!G19&gt;1,'Исходные данные'!G19+45,0)</f>
        <v>0</v>
      </c>
      <c r="P9" s="304">
        <f>IF(корпус!G19&gt;1,'Исходные данные'!G19-3,0)</f>
        <v>0</v>
      </c>
      <c r="Q9" s="304" t="str">
        <f t="shared" si="0"/>
        <v>---</v>
      </c>
      <c r="R9" s="304">
        <f>'Исходные данные'!S19</f>
        <v>0</v>
      </c>
      <c r="S9" s="304">
        <f>IF(корпус!F19&gt;1,'Исходные данные'!G19/корпус!F19-12.5*(корпус!F19-1)+22,'Исходные данные'!G19+22)</f>
        <v>22</v>
      </c>
      <c r="T9" s="304">
        <f>IF(корпус!G19&gt;1,'Исходные данные'!H19/корпус!G19-12.5*(корпус!G19-1)+22,'Исходные данные'!H19+22)</f>
        <v>22</v>
      </c>
      <c r="U9" s="304">
        <f>корпус!H19</f>
        <v>0</v>
      </c>
      <c r="V9" s="304" t="str">
        <f t="shared" si="1"/>
        <v>---</v>
      </c>
      <c r="W9" s="304">
        <f>'Исходные данные'!G19/корпус!F19-12.5*(корпус!F19-1)-3</f>
        <v>-3</v>
      </c>
      <c r="X9" s="304">
        <f>'Исходные данные'!S19</f>
        <v>0</v>
      </c>
      <c r="Y9" s="304">
        <f>'Исходные данные'!G19/корпус!F19-12.5*(корпус!F19-1)-3</f>
        <v>-3</v>
      </c>
      <c r="Z9" s="304">
        <f>'Исходные данные'!S19</f>
        <v>0</v>
      </c>
      <c r="AA9" s="304">
        <f>IF('Исходные данные'!H19&gt;0,'Исходные данные'!H19/корпус!G19-12.5*(корпус!G19-1)-'Задание на ТРУМПФ'!AU9-58.5,0)</f>
        <v>0</v>
      </c>
      <c r="AB9" s="304">
        <f t="shared" si="2"/>
        <v>30</v>
      </c>
      <c r="AC9" s="304">
        <f t="shared" si="3"/>
        <v>0</v>
      </c>
      <c r="AD9" s="303">
        <f t="shared" si="4"/>
        <v>0</v>
      </c>
      <c r="AE9" s="303">
        <f t="shared" si="5"/>
        <v>0</v>
      </c>
      <c r="AF9" s="303">
        <v>0</v>
      </c>
      <c r="AG9" s="303">
        <v>0</v>
      </c>
      <c r="AH9" s="303" t="str">
        <f>Сетка!B19</f>
        <v>---</v>
      </c>
      <c r="AI9" s="303" t="str">
        <f t="shared" si="6"/>
        <v>0х0</v>
      </c>
      <c r="AJ9" s="303">
        <f t="shared" si="7"/>
        <v>0</v>
      </c>
      <c r="AK9" s="303">
        <f>МРП!F19</f>
        <v>0</v>
      </c>
      <c r="AL9" s="303">
        <f>МРП!B19</f>
        <v>0</v>
      </c>
      <c r="AM9" s="303">
        <f>МРП!C19</f>
        <v>0</v>
      </c>
      <c r="AN9" s="303">
        <f>МРП!D19</f>
        <v>0</v>
      </c>
      <c r="AO9" s="305">
        <f>МРП!E19</f>
        <v>0</v>
      </c>
      <c r="AS9" s="4">
        <f>IF(корпус!F19&gt;1,'Исходные данные'!G19/корпус!F19-12.5*(корпус!F19-1)-14,IF(корпус!F19=1,'Исходные данные'!G19-14,))</f>
        <v>-14</v>
      </c>
      <c r="AT9" s="4">
        <f>IF(корпус!G19&gt;1,'Исходные данные'!H19/корпус!G19-12.5*(корпус!G19-1)-14,IF(корпус!G19=1,'Исходные данные'!H19-14,))</f>
        <v>-14</v>
      </c>
      <c r="AU9" s="278">
        <f t="shared" si="8"/>
        <v>30</v>
      </c>
      <c r="AV9" s="4">
        <f>IF('Исходные данные'!G19&gt;1500,'Исходные данные'!G19-25/2,'Исходные данные'!G19)</f>
        <v>0</v>
      </c>
      <c r="AW9" s="4">
        <f>IF('Исходные данные'!H19&gt;1300,'Исходные данные'!H19-25/2,'Исходные данные'!H19)</f>
        <v>0</v>
      </c>
    </row>
    <row r="10" spans="2:49" ht="21" customHeight="1">
      <c r="B10" s="414"/>
      <c r="E10" s="294">
        <v>4</v>
      </c>
      <c r="F10" s="307">
        <f>'Исходные данные'!B20</f>
        <v>0</v>
      </c>
      <c r="G10" s="306" t="str">
        <f>CONCATENATE('Исходные данные'!C20,'Исходные данные'!D20,'Исходные данные'!E20,'Исходные данные'!F20,"  ",'Исходные данные'!G20,"x",'Исходные данные'!H20,'Исходные данные'!I20,'Исходные данные'!J20,'Исходные данные'!K20, "-",'Исходные данные'!L20,'Исходные данные'!M20,'Исходные данные'!N20,'Исходные данные'!O20,'Исходные данные'!P20,'Исходные данные'!Q20,'Исходные данные'!R20)</f>
        <v xml:space="preserve">  x-</v>
      </c>
      <c r="H10" s="347"/>
      <c r="I10" s="303">
        <f>'Исходные данные'!G20</f>
        <v>0</v>
      </c>
      <c r="J10" s="304">
        <f>'Исходные данные'!H20</f>
        <v>0</v>
      </c>
      <c r="K10" s="304"/>
      <c r="L10" s="304"/>
      <c r="M10" s="304">
        <f>IF(корпус!F20&gt;1,'Исходные данные'!H20+44.6,0)</f>
        <v>0</v>
      </c>
      <c r="N10" s="304">
        <f>IF(корпус!F20&gt;1,'Исходные данные'!H20-3,0)</f>
        <v>0</v>
      </c>
      <c r="O10" s="304">
        <f>IF(корпус!G20&gt;1,'Исходные данные'!G20+45,0)</f>
        <v>0</v>
      </c>
      <c r="P10" s="304">
        <f>IF(корпус!G20&gt;1,'Исходные данные'!G20-3,0)</f>
        <v>0</v>
      </c>
      <c r="Q10" s="304" t="str">
        <f t="shared" si="0"/>
        <v>---</v>
      </c>
      <c r="R10" s="304">
        <f>'Исходные данные'!S20</f>
        <v>0</v>
      </c>
      <c r="S10" s="304">
        <f>IF(корпус!F20&gt;1,'Исходные данные'!G20/корпус!F20-12.5*(корпус!F20-1)+22,'Исходные данные'!G20+22)</f>
        <v>22</v>
      </c>
      <c r="T10" s="304">
        <f>IF(корпус!G20&gt;1,'Исходные данные'!H20/корпус!G20-12.5*(корпус!G20-1)+22,'Исходные данные'!H20+22)</f>
        <v>22</v>
      </c>
      <c r="U10" s="304">
        <f>корпус!H20</f>
        <v>0</v>
      </c>
      <c r="V10" s="304" t="str">
        <f t="shared" si="1"/>
        <v>---</v>
      </c>
      <c r="W10" s="304">
        <f>'Исходные данные'!G20/корпус!F20-12.5*(корпус!F20-1)-3</f>
        <v>-3</v>
      </c>
      <c r="X10" s="304">
        <f>'Исходные данные'!S20</f>
        <v>0</v>
      </c>
      <c r="Y10" s="304">
        <f>'Исходные данные'!G20/корпус!F20-12.5*(корпус!F20-1)-3</f>
        <v>-3</v>
      </c>
      <c r="Z10" s="304">
        <f>'Исходные данные'!S20</f>
        <v>0</v>
      </c>
      <c r="AA10" s="304">
        <f>IF('Исходные данные'!H20&gt;0,'Исходные данные'!H20/корпус!G20-12.5*(корпус!G20-1)-'Задание на ТРУМПФ'!AU10-58.5,0)</f>
        <v>0</v>
      </c>
      <c r="AB10" s="304">
        <f t="shared" si="2"/>
        <v>30</v>
      </c>
      <c r="AC10" s="304">
        <f t="shared" si="3"/>
        <v>0</v>
      </c>
      <c r="AD10" s="303">
        <f t="shared" si="4"/>
        <v>0</v>
      </c>
      <c r="AE10" s="303">
        <f t="shared" si="5"/>
        <v>0</v>
      </c>
      <c r="AF10" s="303">
        <v>0</v>
      </c>
      <c r="AG10" s="303">
        <v>0</v>
      </c>
      <c r="AH10" s="303" t="str">
        <f>Сетка!B20</f>
        <v>---</v>
      </c>
      <c r="AI10" s="303" t="str">
        <f t="shared" si="6"/>
        <v>0х0</v>
      </c>
      <c r="AJ10" s="303">
        <f t="shared" si="7"/>
        <v>0</v>
      </c>
      <c r="AK10" s="303">
        <f>МРП!F20</f>
        <v>0</v>
      </c>
      <c r="AL10" s="303">
        <f>МРП!B20</f>
        <v>0</v>
      </c>
      <c r="AM10" s="303">
        <f>МРП!C20</f>
        <v>0</v>
      </c>
      <c r="AN10" s="303">
        <f>МРП!D20</f>
        <v>0</v>
      </c>
      <c r="AO10" s="305">
        <f>МРП!E20</f>
        <v>0</v>
      </c>
      <c r="AS10" s="4">
        <f>IF(корпус!F20&gt;1,'Исходные данные'!G20/корпус!F20-12.5*(корпус!F20-1)-14,IF(корпус!F20=1,'Исходные данные'!G20-14,))</f>
        <v>-14</v>
      </c>
      <c r="AT10" s="4">
        <f>IF(корпус!G20&gt;1,'Исходные данные'!H20/корпус!G20-12.5*(корпус!G20-1)-14,IF(корпус!G20=1,'Исходные данные'!H20-14,))</f>
        <v>-14</v>
      </c>
      <c r="AU10" s="278">
        <f t="shared" si="8"/>
        <v>30</v>
      </c>
      <c r="AV10" s="4">
        <f>IF('Исходные данные'!G20&gt;1500,'Исходные данные'!G20-25/2,'Исходные данные'!G20)</f>
        <v>0</v>
      </c>
      <c r="AW10" s="4">
        <f>IF('Исходные данные'!H20&gt;1300,'Исходные данные'!H20-25/2,'Исходные данные'!H20)</f>
        <v>0</v>
      </c>
    </row>
    <row r="11" spans="2:49" ht="25.5" customHeight="1">
      <c r="B11" s="414"/>
      <c r="E11" s="294">
        <v>5</v>
      </c>
      <c r="F11" s="307">
        <f>'Исходные данные'!B21</f>
        <v>0</v>
      </c>
      <c r="G11" s="306" t="str">
        <f>CONCATENATE('Исходные данные'!C21,'Исходные данные'!D21,'Исходные данные'!E21,'Исходные данные'!F21,"  ",'Исходные данные'!G21,"x",'Исходные данные'!H21,'Исходные данные'!I21,'Исходные данные'!J21,'Исходные данные'!K21, "-",'Исходные данные'!L21,'Исходные данные'!M21,'Исходные данные'!N21,'Исходные данные'!O21,'Исходные данные'!P21,'Исходные данные'!Q21,'Исходные данные'!R21)</f>
        <v xml:space="preserve">  x-</v>
      </c>
      <c r="H11" s="347"/>
      <c r="I11" s="303">
        <f>'Исходные данные'!G21</f>
        <v>0</v>
      </c>
      <c r="J11" s="304">
        <f>'Исходные данные'!H21</f>
        <v>0</v>
      </c>
      <c r="K11" s="304"/>
      <c r="L11" s="304"/>
      <c r="M11" s="304">
        <f>IF(корпус!F21&gt;1,'Исходные данные'!H21+44.6,0)</f>
        <v>0</v>
      </c>
      <c r="N11" s="304">
        <f>IF(корпус!F21&gt;1,'Исходные данные'!H21-3,0)</f>
        <v>0</v>
      </c>
      <c r="O11" s="304">
        <f>IF(корпус!G21&gt;1,'Исходные данные'!G21+45,0)</f>
        <v>0</v>
      </c>
      <c r="P11" s="304">
        <f>IF(корпус!G21&gt;1,'Исходные данные'!G21-3,0)</f>
        <v>0</v>
      </c>
      <c r="Q11" s="304" t="str">
        <f t="shared" si="0"/>
        <v>---</v>
      </c>
      <c r="R11" s="304">
        <f>'Исходные данные'!S21</f>
        <v>0</v>
      </c>
      <c r="S11" s="304">
        <f>IF(корпус!F21&gt;1,'Исходные данные'!G21/корпус!F21-12.5*(корпус!F21-1)+22,'Исходные данные'!G21+22)</f>
        <v>22</v>
      </c>
      <c r="T11" s="304">
        <f>IF(корпус!G21&gt;1,'Исходные данные'!H21/корпус!G21-12.5*(корпус!G21-1)+22,'Исходные данные'!H21+22)</f>
        <v>22</v>
      </c>
      <c r="U11" s="304">
        <f>корпус!H21</f>
        <v>0</v>
      </c>
      <c r="V11" s="304" t="str">
        <f t="shared" si="1"/>
        <v>---</v>
      </c>
      <c r="W11" s="304">
        <f>'Исходные данные'!G21/корпус!F21-12.5*(корпус!F21-1)-3</f>
        <v>-3</v>
      </c>
      <c r="X11" s="304">
        <f>'Исходные данные'!S21</f>
        <v>0</v>
      </c>
      <c r="Y11" s="304">
        <f>'Исходные данные'!G21/корпус!F21-12.5*(корпус!F21-1)-3</f>
        <v>-3</v>
      </c>
      <c r="Z11" s="304">
        <f>'Исходные данные'!S21</f>
        <v>0</v>
      </c>
      <c r="AA11" s="304">
        <f>IF('Исходные данные'!H21&gt;0,'Исходные данные'!H21/корпус!G21-12.5*(корпус!G21-1)-'Задание на ТРУМПФ'!AU11-58.5,0)</f>
        <v>0</v>
      </c>
      <c r="AB11" s="304">
        <f t="shared" si="2"/>
        <v>30</v>
      </c>
      <c r="AC11" s="304">
        <f t="shared" si="3"/>
        <v>0</v>
      </c>
      <c r="AD11" s="303">
        <f t="shared" si="4"/>
        <v>0</v>
      </c>
      <c r="AE11" s="303">
        <f t="shared" si="5"/>
        <v>0</v>
      </c>
      <c r="AF11" s="303">
        <v>0</v>
      </c>
      <c r="AG11" s="303">
        <v>0</v>
      </c>
      <c r="AH11" s="303" t="str">
        <f>Сетка!B21</f>
        <v>---</v>
      </c>
      <c r="AI11" s="303" t="str">
        <f t="shared" si="6"/>
        <v>0х0</v>
      </c>
      <c r="AJ11" s="303">
        <f t="shared" si="7"/>
        <v>0</v>
      </c>
      <c r="AK11" s="303">
        <f>МРП!F21</f>
        <v>0</v>
      </c>
      <c r="AL11" s="303">
        <f>МРП!B21</f>
        <v>0</v>
      </c>
      <c r="AM11" s="303">
        <f>МРП!C21</f>
        <v>0</v>
      </c>
      <c r="AN11" s="303">
        <f>МРП!D21</f>
        <v>0</v>
      </c>
      <c r="AO11" s="305">
        <f>МРП!E21</f>
        <v>0</v>
      </c>
      <c r="AS11" s="4">
        <f>IF(корпус!F21&gt;1,'Исходные данные'!G21/корпус!F21-12.5*(корпус!F21-1)-14,IF(корпус!F21=1,'Исходные данные'!G21-14,))</f>
        <v>-14</v>
      </c>
      <c r="AT11" s="4">
        <f>IF(корпус!G21&gt;1,'Исходные данные'!H21/корпус!G21-12.5*(корпус!G21-1)-14,IF(корпус!G21=1,'Исходные данные'!H21-14,))</f>
        <v>-14</v>
      </c>
      <c r="AU11" s="278">
        <f t="shared" si="8"/>
        <v>30</v>
      </c>
      <c r="AV11" s="4">
        <f>IF('Исходные данные'!G21&gt;1500,'Исходные данные'!G21-25/2,'Исходные данные'!G21)</f>
        <v>0</v>
      </c>
      <c r="AW11" s="4">
        <f>IF('Исходные данные'!H21&gt;1300,'Исходные данные'!H21-25/2,'Исходные данные'!H21)</f>
        <v>0</v>
      </c>
    </row>
    <row r="12" spans="2:49" ht="36" customHeight="1">
      <c r="B12" s="414"/>
      <c r="E12" s="294">
        <v>6</v>
      </c>
      <c r="F12" s="307">
        <f>'Исходные данные'!B22</f>
        <v>0</v>
      </c>
      <c r="G12" s="306" t="str">
        <f>CONCATENATE('Исходные данные'!C22,'Исходные данные'!D22,'Исходные данные'!E22,'Исходные данные'!F22,"  ",'Исходные данные'!G22,"x",'Исходные данные'!H22,'Исходные данные'!I22,'Исходные данные'!J22,'Исходные данные'!K22, "-",'Исходные данные'!L22,'Исходные данные'!M22,'Исходные данные'!N22,'Исходные данные'!O22,'Исходные данные'!P22,'Исходные данные'!Q22,'Исходные данные'!R22)</f>
        <v xml:space="preserve">  x-</v>
      </c>
      <c r="H12" s="347"/>
      <c r="I12" s="303">
        <f>'Исходные данные'!G22</f>
        <v>0</v>
      </c>
      <c r="J12" s="304">
        <f>'Исходные данные'!H22</f>
        <v>0</v>
      </c>
      <c r="K12" s="304"/>
      <c r="L12" s="304"/>
      <c r="M12" s="304">
        <f>IF(корпус!F22&gt;1,'Исходные данные'!H22+44.6,0)</f>
        <v>0</v>
      </c>
      <c r="N12" s="304">
        <f>IF(корпус!F22&gt;1,'Исходные данные'!H22-3,0)</f>
        <v>0</v>
      </c>
      <c r="O12" s="304">
        <f>IF(корпус!G22&gt;1,'Исходные данные'!G22+45,0)</f>
        <v>0</v>
      </c>
      <c r="P12" s="304">
        <f>IF(корпус!G22&gt;1,'Исходные данные'!G22-3,0)</f>
        <v>0</v>
      </c>
      <c r="Q12" s="304" t="str">
        <f t="shared" si="0"/>
        <v>---</v>
      </c>
      <c r="R12" s="304">
        <f>'Исходные данные'!S22</f>
        <v>0</v>
      </c>
      <c r="S12" s="304">
        <f>IF(корпус!F22&gt;1,'Исходные данные'!G22/корпус!F22-12.5*(корпус!F22-1)+22,'Исходные данные'!G22+22)</f>
        <v>22</v>
      </c>
      <c r="T12" s="304">
        <f>IF(корпус!G22&gt;1,'Исходные данные'!H22/корпус!G22-12.5*(корпус!G22-1)+22,'Исходные данные'!H22+22)</f>
        <v>22</v>
      </c>
      <c r="U12" s="304">
        <f>корпус!H22</f>
        <v>0</v>
      </c>
      <c r="V12" s="304" t="str">
        <f t="shared" si="1"/>
        <v>---</v>
      </c>
      <c r="W12" s="304">
        <f>'Исходные данные'!G22/корпус!F22-12.5*(корпус!F22-1)-3</f>
        <v>-3</v>
      </c>
      <c r="X12" s="304">
        <f>'Исходные данные'!S22</f>
        <v>0</v>
      </c>
      <c r="Y12" s="304">
        <f>'Исходные данные'!G22/корпус!F22-12.5*(корпус!F22-1)-3</f>
        <v>-3</v>
      </c>
      <c r="Z12" s="304">
        <f>'Исходные данные'!S22</f>
        <v>0</v>
      </c>
      <c r="AA12" s="304">
        <f>IF('Исходные данные'!H22&gt;0,'Исходные данные'!H22/корпус!G22-12.5*(корпус!G22-1)-'Задание на ТРУМПФ'!AU12-58.5,0)</f>
        <v>0</v>
      </c>
      <c r="AB12" s="304">
        <f t="shared" si="2"/>
        <v>30</v>
      </c>
      <c r="AC12" s="304">
        <f t="shared" si="3"/>
        <v>0</v>
      </c>
      <c r="AD12" s="303">
        <f t="shared" si="4"/>
        <v>0</v>
      </c>
      <c r="AE12" s="303">
        <f t="shared" si="5"/>
        <v>0</v>
      </c>
      <c r="AF12" s="303">
        <v>0</v>
      </c>
      <c r="AG12" s="303">
        <v>0</v>
      </c>
      <c r="AH12" s="303" t="str">
        <f>Сетка!B22</f>
        <v>---</v>
      </c>
      <c r="AI12" s="303" t="str">
        <f t="shared" si="6"/>
        <v>0х0</v>
      </c>
      <c r="AJ12" s="303">
        <f t="shared" si="7"/>
        <v>0</v>
      </c>
      <c r="AK12" s="303">
        <f>МРП!F22</f>
        <v>0</v>
      </c>
      <c r="AL12" s="303">
        <f>МРП!B22</f>
        <v>0</v>
      </c>
      <c r="AM12" s="303">
        <f>МРП!C22</f>
        <v>0</v>
      </c>
      <c r="AN12" s="303">
        <f>МРП!D22</f>
        <v>0</v>
      </c>
      <c r="AO12" s="305">
        <f>МРП!E22</f>
        <v>0</v>
      </c>
      <c r="AS12" s="4">
        <f>IF(корпус!F22&gt;1,'Исходные данные'!G22/корпус!F22-12.5*(корпус!F22-1)-14,IF(корпус!F22=1,'Исходные данные'!G22-14,))</f>
        <v>-14</v>
      </c>
      <c r="AT12" s="4">
        <f>IF(корпус!G22&gt;1,'Исходные данные'!H22/корпус!G22-12.5*(корпус!G22-1)-14,IF(корпус!G22=1,'Исходные данные'!H22-14,))</f>
        <v>-14</v>
      </c>
      <c r="AU12" s="278">
        <f t="shared" si="8"/>
        <v>30</v>
      </c>
      <c r="AV12" s="4">
        <f>IF('Исходные данные'!G22&gt;1500,'Исходные данные'!G22-25/2,'Исходные данные'!G22)</f>
        <v>0</v>
      </c>
      <c r="AW12" s="4">
        <f>IF('Исходные данные'!H22&gt;1300,'Исходные данные'!H22-25/2,'Исходные данные'!H22)</f>
        <v>0</v>
      </c>
    </row>
    <row r="13" spans="2:49" ht="36" customHeight="1">
      <c r="B13" s="414"/>
      <c r="E13" s="294">
        <v>7</v>
      </c>
      <c r="F13" s="307">
        <f>'Исходные данные'!B23</f>
        <v>0</v>
      </c>
      <c r="G13" s="306" t="str">
        <f>CONCATENATE('Исходные данные'!C23,'Исходные данные'!D23,'Исходные данные'!E23,'Исходные данные'!F23,"  ",'Исходные данные'!G23,"x",'Исходные данные'!H23,'Исходные данные'!I23,'Исходные данные'!J23,'Исходные данные'!K23, "-",'Исходные данные'!L23,'Исходные данные'!M23,'Исходные данные'!N23,'Исходные данные'!O23,'Исходные данные'!P23,'Исходные данные'!Q23,'Исходные данные'!R23)</f>
        <v xml:space="preserve">  x-----</v>
      </c>
      <c r="H13" s="347"/>
      <c r="I13" s="303">
        <f>'Исходные данные'!G23</f>
        <v>0</v>
      </c>
      <c r="J13" s="304">
        <f>'Исходные данные'!H23</f>
        <v>0</v>
      </c>
      <c r="K13" s="304"/>
      <c r="L13" s="304"/>
      <c r="M13" s="304">
        <f>IF(корпус!F23&gt;1,'Исходные данные'!H23+44.6,0)</f>
        <v>0</v>
      </c>
      <c r="N13" s="304">
        <f>IF(корпус!F23&gt;1,'Исходные данные'!H23-3,0)</f>
        <v>0</v>
      </c>
      <c r="O13" s="304">
        <f>IF(корпус!G23&gt;1,'Исходные данные'!G23+45,0)</f>
        <v>0</v>
      </c>
      <c r="P13" s="304">
        <f>IF(корпус!G23&gt;1,'Исходные данные'!G23-3,0)</f>
        <v>0</v>
      </c>
      <c r="Q13" s="304" t="str">
        <f t="shared" si="0"/>
        <v>---</v>
      </c>
      <c r="R13" s="304">
        <f>'Исходные данные'!S23</f>
        <v>0</v>
      </c>
      <c r="S13" s="304">
        <f>IF(корпус!F23&gt;1,'Исходные данные'!G23/корпус!F23-12.5*(корпус!F23-1)+22,'Исходные данные'!G23+22)</f>
        <v>22</v>
      </c>
      <c r="T13" s="304">
        <f>IF(корпус!G23&gt;1,'Исходные данные'!H23/корпус!G23-12.5*(корпус!G23-1)+22,'Исходные данные'!H23+22)</f>
        <v>22</v>
      </c>
      <c r="U13" s="304">
        <f>корпус!H23</f>
        <v>0</v>
      </c>
      <c r="V13" s="304" t="str">
        <f t="shared" si="1"/>
        <v>---</v>
      </c>
      <c r="W13" s="304">
        <f>'Исходные данные'!G23/корпус!F23-12.5*(корпус!F23-1)-3</f>
        <v>-3</v>
      </c>
      <c r="X13" s="304">
        <f>'Исходные данные'!S23</f>
        <v>0</v>
      </c>
      <c r="Y13" s="304">
        <f>'Исходные данные'!G23/корпус!F23-12.5*(корпус!F23-1)-3</f>
        <v>-3</v>
      </c>
      <c r="Z13" s="304">
        <f>'Исходные данные'!S23</f>
        <v>0</v>
      </c>
      <c r="AA13" s="304">
        <f>IF('Исходные данные'!H23&gt;0,'Исходные данные'!H23/корпус!G23-12.5*(корпус!G23-1)-'Задание на ТРУМПФ'!AU13-58.5,0)</f>
        <v>0</v>
      </c>
      <c r="AB13" s="304">
        <f t="shared" si="2"/>
        <v>30</v>
      </c>
      <c r="AC13" s="304">
        <f t="shared" si="3"/>
        <v>0</v>
      </c>
      <c r="AD13" s="303">
        <f t="shared" si="4"/>
        <v>0</v>
      </c>
      <c r="AE13" s="303">
        <f t="shared" si="5"/>
        <v>0</v>
      </c>
      <c r="AF13" s="303">
        <v>0</v>
      </c>
      <c r="AG13" s="303">
        <v>0</v>
      </c>
      <c r="AH13" s="303" t="str">
        <f>Сетка!B23</f>
        <v>---</v>
      </c>
      <c r="AI13" s="303" t="str">
        <f t="shared" si="6"/>
        <v>0х0</v>
      </c>
      <c r="AJ13" s="303">
        <f t="shared" si="7"/>
        <v>0</v>
      </c>
      <c r="AK13" s="303">
        <f>МРП!F23</f>
        <v>0</v>
      </c>
      <c r="AL13" s="303">
        <f>МРП!B23</f>
        <v>0</v>
      </c>
      <c r="AM13" s="303">
        <f>МРП!C23</f>
        <v>0</v>
      </c>
      <c r="AN13" s="303">
        <f>МРП!D23</f>
        <v>0</v>
      </c>
      <c r="AO13" s="305">
        <f>МРП!E23</f>
        <v>0</v>
      </c>
      <c r="AS13" s="4">
        <f>IF(корпус!F23&gt;1,'Исходные данные'!G23/корпус!F23-12.5*(корпус!F23-1)-14,IF(корпус!F23=1,'Исходные данные'!G23-14,))</f>
        <v>-14</v>
      </c>
      <c r="AT13" s="4">
        <f>IF(корпус!G23&gt;1,'Исходные данные'!H23/корпус!G23-12.5*(корпус!G23-1)-14,IF(корпус!G23=1,'Исходные данные'!H23-14,))</f>
        <v>-14</v>
      </c>
      <c r="AU13" s="278">
        <f t="shared" si="8"/>
        <v>30</v>
      </c>
      <c r="AV13" s="4">
        <f>IF('Исходные данные'!G23&gt;1500,'Исходные данные'!G23-25/2,'Исходные данные'!G23)</f>
        <v>0</v>
      </c>
      <c r="AW13" s="4">
        <f>IF('Исходные данные'!H23&gt;1300,'Исходные данные'!H23-25/2,'Исходные данные'!H23)</f>
        <v>0</v>
      </c>
    </row>
    <row r="14" spans="2:49" ht="38.25" customHeight="1">
      <c r="B14" s="414"/>
      <c r="E14" s="294">
        <v>8</v>
      </c>
      <c r="F14" s="307">
        <f>'Исходные данные'!B24</f>
        <v>0</v>
      </c>
      <c r="G14" s="306" t="str">
        <f>CONCATENATE('Исходные данные'!C24,'Исходные данные'!D24,'Исходные данные'!E24,'Исходные данные'!F24,"  ",'Исходные данные'!G24,"x",'Исходные данные'!H24,'Исходные данные'!I24,'Исходные данные'!J24,'Исходные данные'!K24, "-",'Исходные данные'!L24,'Исходные данные'!M24,'Исходные данные'!N24,'Исходные данные'!O24,'Исходные данные'!P24,'Исходные данные'!Q24,'Исходные данные'!R24)</f>
        <v xml:space="preserve">  x-----</v>
      </c>
      <c r="H14" s="347"/>
      <c r="I14" s="303">
        <f>'Исходные данные'!G24</f>
        <v>0</v>
      </c>
      <c r="J14" s="304">
        <f>'Исходные данные'!H24</f>
        <v>0</v>
      </c>
      <c r="K14" s="304"/>
      <c r="L14" s="304"/>
      <c r="M14" s="304">
        <f>IF(корпус!F24&gt;1,'Исходные данные'!H24+44.6,0)</f>
        <v>0</v>
      </c>
      <c r="N14" s="304">
        <f>IF(корпус!F24&gt;1,'Исходные данные'!H24-3,0)</f>
        <v>0</v>
      </c>
      <c r="O14" s="304">
        <f>IF(корпус!G24&gt;1,'Исходные данные'!G24+45,0)</f>
        <v>0</v>
      </c>
      <c r="P14" s="304">
        <f>IF(корпус!G24&gt;1,'Исходные данные'!G24-3,0)</f>
        <v>0</v>
      </c>
      <c r="Q14" s="304" t="str">
        <f t="shared" si="0"/>
        <v>---</v>
      </c>
      <c r="R14" s="304">
        <f>'Исходные данные'!S24</f>
        <v>0</v>
      </c>
      <c r="S14" s="304">
        <f>IF(корпус!F24&gt;1,'Исходные данные'!G24/корпус!F24-12.5*(корпус!F24-1)+22,'Исходные данные'!G24+22)</f>
        <v>22</v>
      </c>
      <c r="T14" s="304">
        <f>IF(корпус!G24&gt;1,'Исходные данные'!H24/корпус!G24-12.5*(корпус!G24-1)+22,'Исходные данные'!H24+22)</f>
        <v>22</v>
      </c>
      <c r="U14" s="304">
        <f>корпус!H24</f>
        <v>0</v>
      </c>
      <c r="V14" s="304" t="str">
        <f t="shared" si="1"/>
        <v>---</v>
      </c>
      <c r="W14" s="304">
        <f>'Исходные данные'!G24/корпус!F24-12.5*(корпус!F24-1)-3</f>
        <v>-3</v>
      </c>
      <c r="X14" s="304">
        <f>'Исходные данные'!S24</f>
        <v>0</v>
      </c>
      <c r="Y14" s="304">
        <f>'Исходные данные'!G24/корпус!F24-12.5*(корпус!F24-1)-3</f>
        <v>-3</v>
      </c>
      <c r="Z14" s="304">
        <f>'Исходные данные'!S24</f>
        <v>0</v>
      </c>
      <c r="AA14" s="304">
        <f>IF('Исходные данные'!H24&gt;0,'Исходные данные'!H24/корпус!G24-12.5*(корпус!G24-1)-'Задание на ТРУМПФ'!AU14-58.5,0)</f>
        <v>0</v>
      </c>
      <c r="AB14" s="304">
        <f t="shared" si="2"/>
        <v>30</v>
      </c>
      <c r="AC14" s="304">
        <f t="shared" si="3"/>
        <v>0</v>
      </c>
      <c r="AD14" s="303">
        <f t="shared" si="4"/>
        <v>0</v>
      </c>
      <c r="AE14" s="303">
        <f t="shared" si="5"/>
        <v>0</v>
      </c>
      <c r="AF14" s="303">
        <v>0</v>
      </c>
      <c r="AG14" s="303">
        <v>0</v>
      </c>
      <c r="AH14" s="303" t="str">
        <f>Сетка!B24</f>
        <v>---</v>
      </c>
      <c r="AI14" s="303" t="str">
        <f t="shared" si="6"/>
        <v>0х0</v>
      </c>
      <c r="AJ14" s="303">
        <f t="shared" si="7"/>
        <v>0</v>
      </c>
      <c r="AK14" s="303">
        <f>МРП!F24</f>
        <v>0</v>
      </c>
      <c r="AL14" s="303">
        <f>МРП!B24</f>
        <v>0</v>
      </c>
      <c r="AM14" s="303">
        <f>МРП!C24</f>
        <v>0</v>
      </c>
      <c r="AN14" s="303">
        <f>МРП!D24</f>
        <v>0</v>
      </c>
      <c r="AO14" s="305">
        <f>МРП!E24</f>
        <v>0</v>
      </c>
      <c r="AS14" s="4">
        <f>IF(корпус!F24&gt;1,'Исходные данные'!G24/корпус!F24-12.5*(корпус!F24-1)-14,IF(корпус!F24=1,'Исходные данные'!G24-14,))</f>
        <v>-14</v>
      </c>
      <c r="AT14" s="4">
        <f>IF(корпус!G24&gt;1,'Исходные данные'!H24/корпус!G24-12.5*(корпус!G24-1)-14,IF(корпус!G24=1,'Исходные данные'!H24-14,))</f>
        <v>-14</v>
      </c>
      <c r="AU14" s="278">
        <f t="shared" si="8"/>
        <v>30</v>
      </c>
      <c r="AV14" s="4">
        <f>IF('Исходные данные'!G24&gt;1500,'Исходные данные'!G24-25/2,'Исходные данные'!G24)</f>
        <v>0</v>
      </c>
      <c r="AW14" s="4">
        <f>IF('Исходные данные'!H24&gt;1300,'Исходные данные'!H24-25/2,'Исходные данные'!H24)</f>
        <v>0</v>
      </c>
    </row>
    <row r="15" spans="2:49" ht="38.25" customHeight="1">
      <c r="B15" s="414"/>
      <c r="E15" s="294">
        <v>9</v>
      </c>
      <c r="F15" s="307">
        <f>'Исходные данные'!B25</f>
        <v>0</v>
      </c>
      <c r="G15" s="306" t="str">
        <f>CONCATENATE('Исходные данные'!C25,'Исходные данные'!D25,'Исходные данные'!E25,'Исходные данные'!F25,"  ",'Исходные данные'!G25,"x",'Исходные данные'!H25,'Исходные данные'!I25,'Исходные данные'!J25,'Исходные данные'!K25, "-",'Исходные данные'!L25,'Исходные данные'!M25,'Исходные данные'!N25,'Исходные данные'!O25,'Исходные данные'!P25,'Исходные данные'!Q25,'Исходные данные'!R25)</f>
        <v xml:space="preserve">  x-----</v>
      </c>
      <c r="H15" s="347"/>
      <c r="I15" s="303">
        <f>'Исходные данные'!G25</f>
        <v>0</v>
      </c>
      <c r="J15" s="304">
        <f>'Исходные данные'!H25</f>
        <v>0</v>
      </c>
      <c r="K15" s="304"/>
      <c r="L15" s="304"/>
      <c r="M15" s="304">
        <f>IF(корпус!F25&gt;1,'Исходные данные'!H25+44.6,0)</f>
        <v>0</v>
      </c>
      <c r="N15" s="304">
        <f>IF(корпус!F25&gt;1,'Исходные данные'!H25-3,0)</f>
        <v>0</v>
      </c>
      <c r="O15" s="304">
        <f>IF(корпус!G25&gt;1,'Исходные данные'!G25+45,0)</f>
        <v>0</v>
      </c>
      <c r="P15" s="304">
        <f>IF(корпус!G25&gt;1,'Исходные данные'!G25-3,0)</f>
        <v>0</v>
      </c>
      <c r="Q15" s="304" t="str">
        <f t="shared" si="0"/>
        <v>---</v>
      </c>
      <c r="R15" s="304">
        <f>'Исходные данные'!S25</f>
        <v>0</v>
      </c>
      <c r="S15" s="304">
        <f>IF(корпус!F25&gt;1,'Исходные данные'!G25/корпус!F25-12.5*(корпус!F25-1)+22,'Исходные данные'!G25+22)</f>
        <v>22</v>
      </c>
      <c r="T15" s="304">
        <f>IF(корпус!G25&gt;1,'Исходные данные'!H25/корпус!G25-12.5*(корпус!G25-1)+22,'Исходные данные'!H25+22)</f>
        <v>22</v>
      </c>
      <c r="U15" s="304">
        <f>корпус!H25</f>
        <v>0</v>
      </c>
      <c r="V15" s="304" t="str">
        <f t="shared" si="1"/>
        <v>---</v>
      </c>
      <c r="W15" s="304">
        <f>'Исходные данные'!G25/корпус!F25-12.5*(корпус!F25-1)-3</f>
        <v>-3</v>
      </c>
      <c r="X15" s="304">
        <f>'Исходные данные'!S25</f>
        <v>0</v>
      </c>
      <c r="Y15" s="304">
        <f>'Исходные данные'!G25/корпус!F25-12.5*(корпус!F25-1)-3</f>
        <v>-3</v>
      </c>
      <c r="Z15" s="304">
        <f>'Исходные данные'!S25</f>
        <v>0</v>
      </c>
      <c r="AA15" s="304">
        <f>IF('Исходные данные'!H25&gt;0,'Исходные данные'!H25/корпус!G25-12.5*(корпус!G25-1)-'Задание на ТРУМПФ'!AU15-58.5,0)</f>
        <v>0</v>
      </c>
      <c r="AB15" s="304">
        <f t="shared" si="2"/>
        <v>30</v>
      </c>
      <c r="AC15" s="304">
        <f t="shared" si="3"/>
        <v>0</v>
      </c>
      <c r="AD15" s="303">
        <f t="shared" si="4"/>
        <v>0</v>
      </c>
      <c r="AE15" s="303">
        <f t="shared" si="5"/>
        <v>0</v>
      </c>
      <c r="AF15" s="303">
        <v>0</v>
      </c>
      <c r="AG15" s="303">
        <v>0</v>
      </c>
      <c r="AH15" s="303" t="str">
        <f>Сетка!B25</f>
        <v>---</v>
      </c>
      <c r="AI15" s="303" t="str">
        <f t="shared" si="6"/>
        <v>0х0</v>
      </c>
      <c r="AJ15" s="303">
        <f t="shared" si="7"/>
        <v>0</v>
      </c>
      <c r="AK15" s="303">
        <f>МРП!F25</f>
        <v>0</v>
      </c>
      <c r="AL15" s="303">
        <f>МРП!B25</f>
        <v>0</v>
      </c>
      <c r="AM15" s="303">
        <f>МРП!C25</f>
        <v>0</v>
      </c>
      <c r="AN15" s="303">
        <f>МРП!D25</f>
        <v>0</v>
      </c>
      <c r="AO15" s="305">
        <f>МРП!E25</f>
        <v>0</v>
      </c>
      <c r="AS15" s="4">
        <f>IF(корпус!F25&gt;1,'Исходные данные'!G25/корпус!F25-12.5*(корпус!F25-1)-14,IF(корпус!F25=1,'Исходные данные'!G25-14,))</f>
        <v>-14</v>
      </c>
      <c r="AT15" s="4">
        <f>IF(корпус!G25&gt;1,'Исходные данные'!H25/корпус!G25-12.5*(корпус!G25-1)-14,IF(корпус!G25=1,'Исходные данные'!H25-14,))</f>
        <v>-14</v>
      </c>
      <c r="AU15" s="278">
        <f t="shared" si="8"/>
        <v>30</v>
      </c>
      <c r="AV15" s="4">
        <f>IF('Исходные данные'!G25&gt;1500,'Исходные данные'!G25-25/2,'Исходные данные'!G25)</f>
        <v>0</v>
      </c>
      <c r="AW15" s="4">
        <f>IF('Исходные данные'!H25&gt;1300,'Исходные данные'!H25-25/2,'Исходные данные'!H25)</f>
        <v>0</v>
      </c>
    </row>
    <row r="16" spans="2:49" ht="33" customHeight="1">
      <c r="B16" s="414"/>
      <c r="E16" s="294">
        <v>10</v>
      </c>
      <c r="F16" s="307">
        <f>'Исходные данные'!B26</f>
        <v>0</v>
      </c>
      <c r="G16" s="306" t="str">
        <f>CONCATENATE('Исходные данные'!C26,'Исходные данные'!D26,'Исходные данные'!E26,'Исходные данные'!F26,"  ",'Исходные данные'!G26,"x",'Исходные данные'!H26,'Исходные данные'!I26,'Исходные данные'!J26,'Исходные данные'!K26, "-",'Исходные данные'!L26,'Исходные данные'!M26,'Исходные данные'!N26,'Исходные данные'!O26,'Исходные данные'!P26,'Исходные данные'!Q26,'Исходные данные'!R26)</f>
        <v xml:space="preserve">  x-----</v>
      </c>
      <c r="H16" s="347"/>
      <c r="I16" s="303">
        <f>'Исходные данные'!G26</f>
        <v>0</v>
      </c>
      <c r="J16" s="304">
        <f>'Исходные данные'!H26</f>
        <v>0</v>
      </c>
      <c r="K16" s="304"/>
      <c r="L16" s="304"/>
      <c r="M16" s="304">
        <f>IF(корпус!F26&gt;1,'Исходные данные'!H26+44.6,0)</f>
        <v>0</v>
      </c>
      <c r="N16" s="304">
        <f>IF(корпус!F26&gt;1,'Исходные данные'!H26-3,0)</f>
        <v>0</v>
      </c>
      <c r="O16" s="304">
        <f>IF(корпус!G26&gt;1,'Исходные данные'!G26+45,0)</f>
        <v>0</v>
      </c>
      <c r="P16" s="304">
        <f>IF(корпус!G26&gt;1,'Исходные данные'!G26-3,0)</f>
        <v>0</v>
      </c>
      <c r="Q16" s="304" t="str">
        <f t="shared" si="0"/>
        <v>---</v>
      </c>
      <c r="R16" s="304">
        <f>'Исходные данные'!S26</f>
        <v>0</v>
      </c>
      <c r="S16" s="304">
        <f>IF(корпус!F26&gt;1,'Исходные данные'!G26/корпус!F26-12.5*(корпус!F26-1)+22,'Исходные данные'!G26+22)</f>
        <v>22</v>
      </c>
      <c r="T16" s="304">
        <f>IF(корпус!G26&gt;1,'Исходные данные'!H26/корпус!G26-12.5*(корпус!G26-1)+22,'Исходные данные'!H26+22)</f>
        <v>22</v>
      </c>
      <c r="U16" s="304">
        <f>корпус!H26</f>
        <v>0</v>
      </c>
      <c r="V16" s="304" t="str">
        <f t="shared" si="1"/>
        <v>---</v>
      </c>
      <c r="W16" s="304">
        <f>'Исходные данные'!G26/корпус!F26-12.5*(корпус!F26-1)-3</f>
        <v>-3</v>
      </c>
      <c r="X16" s="304">
        <f>'Исходные данные'!S26</f>
        <v>0</v>
      </c>
      <c r="Y16" s="304">
        <f>'Исходные данные'!G26/корпус!F26-12.5*(корпус!F26-1)-3</f>
        <v>-3</v>
      </c>
      <c r="Z16" s="304">
        <f>'Исходные данные'!S26</f>
        <v>0</v>
      </c>
      <c r="AA16" s="304">
        <f>IF('Исходные данные'!H26&gt;0,'Исходные данные'!H26/корпус!G26-12.5*(корпус!G26-1)-'Задание на ТРУМПФ'!AU16-58.5,0)</f>
        <v>0</v>
      </c>
      <c r="AB16" s="304">
        <f t="shared" si="2"/>
        <v>30</v>
      </c>
      <c r="AC16" s="304">
        <f t="shared" si="3"/>
        <v>0</v>
      </c>
      <c r="AD16" s="303">
        <f t="shared" si="4"/>
        <v>0</v>
      </c>
      <c r="AE16" s="303">
        <f t="shared" si="5"/>
        <v>0</v>
      </c>
      <c r="AF16" s="303">
        <v>0</v>
      </c>
      <c r="AG16" s="303">
        <v>0</v>
      </c>
      <c r="AH16" s="303" t="str">
        <f>Сетка!B26</f>
        <v>---</v>
      </c>
      <c r="AI16" s="303" t="str">
        <f t="shared" si="6"/>
        <v>0х0</v>
      </c>
      <c r="AJ16" s="303">
        <f t="shared" si="7"/>
        <v>0</v>
      </c>
      <c r="AK16" s="303">
        <f>МРП!F26</f>
        <v>0</v>
      </c>
      <c r="AL16" s="303">
        <f>МРП!B26</f>
        <v>0</v>
      </c>
      <c r="AM16" s="303">
        <f>МРП!C26</f>
        <v>0</v>
      </c>
      <c r="AN16" s="303">
        <f>МРП!D26</f>
        <v>0</v>
      </c>
      <c r="AO16" s="305">
        <f>МРП!E26</f>
        <v>0</v>
      </c>
      <c r="AS16" s="4">
        <f>IF(корпус!F26&gt;1,'Исходные данные'!G26/корпус!F26-12.5*(корпус!F26-1)-14,IF(корпус!F26=1,'Исходные данные'!G26-14,))</f>
        <v>-14</v>
      </c>
      <c r="AT16" s="4">
        <f>IF(корпус!G26&gt;1,'Исходные данные'!H26/корпус!G26-12.5*(корпус!G26-1)-14,IF(корпус!G26=1,'Исходные данные'!H26-14,))</f>
        <v>-14</v>
      </c>
      <c r="AU16" s="278">
        <f t="shared" si="8"/>
        <v>30</v>
      </c>
      <c r="AV16" s="4">
        <f>IF('Исходные данные'!G26&gt;1500,'Исходные данные'!G26-25/2,'Исходные данные'!G26)</f>
        <v>0</v>
      </c>
      <c r="AW16" s="4">
        <f>IF('Исходные данные'!H26&gt;1300,'Исходные данные'!H26-25/2,'Исходные данные'!H26)</f>
        <v>0</v>
      </c>
    </row>
    <row r="17" spans="1:49" ht="43.5" customHeight="1">
      <c r="B17" s="414"/>
      <c r="C17" s="415" t="s">
        <v>161</v>
      </c>
      <c r="D17" s="416" t="s">
        <v>162</v>
      </c>
      <c r="E17" s="294">
        <v>11</v>
      </c>
      <c r="F17" s="307">
        <f>'Исходные данные'!B27</f>
        <v>0</v>
      </c>
      <c r="G17" s="306" t="str">
        <f>CONCATENATE('Исходные данные'!C27,'Исходные данные'!D27,'Исходные данные'!E27,'Исходные данные'!F27,"  ",'Исходные данные'!G27,"x",'Исходные данные'!H27,'Исходные данные'!I27,'Исходные данные'!J27,'Исходные данные'!K27, "-",'Исходные данные'!L27,'Исходные данные'!M27,'Исходные данные'!N27,'Исходные данные'!O27,'Исходные данные'!P27,'Исходные данные'!Q27,'Исходные данные'!R27)</f>
        <v xml:space="preserve">  x-----</v>
      </c>
      <c r="H17" s="347"/>
      <c r="I17" s="303">
        <f>'Исходные данные'!G27</f>
        <v>0</v>
      </c>
      <c r="J17" s="304">
        <f>'Исходные данные'!H27</f>
        <v>0</v>
      </c>
      <c r="K17" s="304"/>
      <c r="L17" s="304"/>
      <c r="M17" s="304">
        <f>IF(корпус!F27&gt;1,'Исходные данные'!H27+44.6,0)</f>
        <v>0</v>
      </c>
      <c r="N17" s="304">
        <f>IF(корпус!F27&gt;1,'Исходные данные'!H27-3,0)</f>
        <v>0</v>
      </c>
      <c r="O17" s="304">
        <f>IF(корпус!G27&gt;1,'Исходные данные'!G27+45,0)</f>
        <v>0</v>
      </c>
      <c r="P17" s="304">
        <f>IF(корпус!G27&gt;1,'Исходные данные'!G27-3,0)</f>
        <v>0</v>
      </c>
      <c r="Q17" s="304" t="str">
        <f t="shared" si="0"/>
        <v>---</v>
      </c>
      <c r="R17" s="304">
        <f>'Исходные данные'!S27</f>
        <v>0</v>
      </c>
      <c r="S17" s="304">
        <f>IF(корпус!F27&gt;1,'Исходные данные'!G27/корпус!F27-12.5*(корпус!F27-1)+22,'Исходные данные'!G27+22)</f>
        <v>22</v>
      </c>
      <c r="T17" s="304">
        <f>IF(корпус!G27&gt;1,'Исходные данные'!H27/корпус!G27-12.5*(корпус!G27-1)+22,'Исходные данные'!H27+22)</f>
        <v>22</v>
      </c>
      <c r="U17" s="304">
        <f>корпус!H27</f>
        <v>0</v>
      </c>
      <c r="V17" s="304" t="str">
        <f t="shared" si="1"/>
        <v>---</v>
      </c>
      <c r="W17" s="304">
        <f>'Исходные данные'!G27/корпус!F27-12.5*(корпус!F27-1)-3</f>
        <v>-3</v>
      </c>
      <c r="X17" s="304">
        <f>'Исходные данные'!S27</f>
        <v>0</v>
      </c>
      <c r="Y17" s="304">
        <f>'Исходные данные'!G27/корпус!F27-12.5*(корпус!F27-1)-3</f>
        <v>-3</v>
      </c>
      <c r="Z17" s="304">
        <f>'Исходные данные'!S27</f>
        <v>0</v>
      </c>
      <c r="AA17" s="304">
        <f>IF('Исходные данные'!H27&gt;0,'Исходные данные'!H27/корпус!G27-12.5*(корпус!G27-1)-'Задание на ТРУМПФ'!AU17-58.5,0)</f>
        <v>0</v>
      </c>
      <c r="AB17" s="304">
        <f t="shared" si="2"/>
        <v>30</v>
      </c>
      <c r="AC17" s="304">
        <f t="shared" si="3"/>
        <v>0</v>
      </c>
      <c r="AD17" s="303">
        <f t="shared" si="4"/>
        <v>0</v>
      </c>
      <c r="AE17" s="303">
        <f t="shared" si="5"/>
        <v>0</v>
      </c>
      <c r="AF17" s="303">
        <v>0</v>
      </c>
      <c r="AG17" s="303">
        <v>0</v>
      </c>
      <c r="AH17" s="303" t="str">
        <f>Сетка!B27</f>
        <v>---</v>
      </c>
      <c r="AI17" s="303" t="str">
        <f t="shared" si="6"/>
        <v>0х0</v>
      </c>
      <c r="AJ17" s="303">
        <f t="shared" si="7"/>
        <v>0</v>
      </c>
      <c r="AK17" s="303">
        <f>МРП!F27</f>
        <v>0</v>
      </c>
      <c r="AL17" s="303">
        <f>МРП!B27</f>
        <v>0</v>
      </c>
      <c r="AM17" s="303">
        <f>МРП!C27</f>
        <v>0</v>
      </c>
      <c r="AN17" s="303">
        <f>МРП!D27</f>
        <v>0</v>
      </c>
      <c r="AO17" s="305">
        <f>МРП!E27</f>
        <v>0</v>
      </c>
      <c r="AS17" s="4">
        <f>IF(корпус!F27&gt;1,'Исходные данные'!G27/корпус!F27-12.5*(корпус!F27-1)-14,IF(корпус!F27=1,'Исходные данные'!G27-14,))</f>
        <v>-14</v>
      </c>
      <c r="AT17" s="4">
        <f>IF(корпус!G27&gt;1,'Исходные данные'!H27/корпус!G27-12.5*(корпус!G27-1)-14,IF(корпус!G27=1,'Исходные данные'!H27-14,))</f>
        <v>-14</v>
      </c>
      <c r="AU17" s="278">
        <f t="shared" si="8"/>
        <v>30</v>
      </c>
      <c r="AV17" s="4">
        <f>IF('Исходные данные'!G27&gt;1500,'Исходные данные'!G27-25/2,'Исходные данные'!G27)</f>
        <v>0</v>
      </c>
      <c r="AW17" s="4">
        <f>IF('Исходные данные'!H27&gt;1300,'Исходные данные'!H27-25/2,'Исходные данные'!H27)</f>
        <v>0</v>
      </c>
    </row>
    <row r="18" spans="1:49" ht="30.75" customHeight="1">
      <c r="B18" s="414"/>
      <c r="C18" s="415"/>
      <c r="D18" s="416"/>
      <c r="E18" s="294">
        <v>12</v>
      </c>
      <c r="F18" s="307">
        <f>'Исходные данные'!B28</f>
        <v>0</v>
      </c>
      <c r="G18" s="306" t="str">
        <f>CONCATENATE('Исходные данные'!C28,'Исходные данные'!D28,'Исходные данные'!E28,'Исходные данные'!F28,"  ",'Исходные данные'!G28,"x",'Исходные данные'!H28,'Исходные данные'!I28,'Исходные данные'!J28,'Исходные данные'!K28, "-",'Исходные данные'!L28,'Исходные данные'!M28,'Исходные данные'!N28,'Исходные данные'!O28,'Исходные данные'!P28,'Исходные данные'!Q28,'Исходные данные'!R28)</f>
        <v xml:space="preserve">  x-----</v>
      </c>
      <c r="H18" s="347"/>
      <c r="I18" s="303">
        <f>'Исходные данные'!G28</f>
        <v>0</v>
      </c>
      <c r="J18" s="304">
        <f>'Исходные данные'!H28</f>
        <v>0</v>
      </c>
      <c r="K18" s="304"/>
      <c r="L18" s="304"/>
      <c r="M18" s="304">
        <f>IF(корпус!F28&gt;1,'Исходные данные'!H28+44.6,0)</f>
        <v>0</v>
      </c>
      <c r="N18" s="304">
        <f>IF(корпус!F28&gt;1,'Исходные данные'!H28-3,0)</f>
        <v>0</v>
      </c>
      <c r="O18" s="304">
        <f>IF(корпус!G28&gt;1,'Исходные данные'!G28+45,0)</f>
        <v>0</v>
      </c>
      <c r="P18" s="304">
        <f>IF(корпус!G28&gt;1,'Исходные данные'!G28-3,0)</f>
        <v>0</v>
      </c>
      <c r="Q18" s="304" t="str">
        <f t="shared" si="0"/>
        <v>---</v>
      </c>
      <c r="R18" s="304">
        <f>'Исходные данные'!S28</f>
        <v>0</v>
      </c>
      <c r="S18" s="304">
        <f>IF(корпус!F28&gt;1,'Исходные данные'!G28/корпус!F28-12.5*(корпус!F28-1)+22,'Исходные данные'!G28+22)</f>
        <v>22</v>
      </c>
      <c r="T18" s="304">
        <f>IF(корпус!G28&gt;1,'Исходные данные'!H28/корпус!G28-12.5*(корпус!G28-1)+22,'Исходные данные'!H28+22)</f>
        <v>22</v>
      </c>
      <c r="U18" s="304">
        <f>корпус!H28</f>
        <v>0</v>
      </c>
      <c r="V18" s="304" t="str">
        <f t="shared" si="1"/>
        <v>---</v>
      </c>
      <c r="W18" s="304">
        <f>'Исходные данные'!G28/корпус!F28-12.5*(корпус!F28-1)-3</f>
        <v>-3</v>
      </c>
      <c r="X18" s="304">
        <f>'Исходные данные'!S28</f>
        <v>0</v>
      </c>
      <c r="Y18" s="304">
        <f>'Исходные данные'!G28/корпус!F28-12.5*(корпус!F28-1)-3</f>
        <v>-3</v>
      </c>
      <c r="Z18" s="304">
        <f>'Исходные данные'!S28</f>
        <v>0</v>
      </c>
      <c r="AA18" s="304">
        <f>IF('Исходные данные'!H28&gt;0,'Исходные данные'!H28/корпус!G28-12.5*(корпус!G28-1)-'Задание на ТРУМПФ'!AU18-58.5,0)</f>
        <v>0</v>
      </c>
      <c r="AB18" s="304">
        <f t="shared" si="2"/>
        <v>30</v>
      </c>
      <c r="AC18" s="304">
        <f t="shared" si="3"/>
        <v>0</v>
      </c>
      <c r="AD18" s="303">
        <f t="shared" si="4"/>
        <v>0</v>
      </c>
      <c r="AE18" s="303">
        <f t="shared" si="5"/>
        <v>0</v>
      </c>
      <c r="AF18" s="303">
        <v>0</v>
      </c>
      <c r="AG18" s="303">
        <v>0</v>
      </c>
      <c r="AH18" s="303" t="str">
        <f>Сетка!B28</f>
        <v>---</v>
      </c>
      <c r="AI18" s="303" t="str">
        <f t="shared" si="6"/>
        <v>0х0</v>
      </c>
      <c r="AJ18" s="303">
        <f t="shared" si="7"/>
        <v>0</v>
      </c>
      <c r="AK18" s="303">
        <f>МРП!F28</f>
        <v>0</v>
      </c>
      <c r="AL18" s="303">
        <f>МРП!B28</f>
        <v>0</v>
      </c>
      <c r="AM18" s="303">
        <f>МРП!C28</f>
        <v>0</v>
      </c>
      <c r="AN18" s="303">
        <f>МРП!D28</f>
        <v>0</v>
      </c>
      <c r="AO18" s="305">
        <f>МРП!E28</f>
        <v>0</v>
      </c>
      <c r="AS18" s="4">
        <f>IF(корпус!F28&gt;1,'Исходные данные'!G28/корпус!F28-12.5*(корпус!F28-1)-14,IF(корпус!F28=1,'Исходные данные'!G28-14,))</f>
        <v>-14</v>
      </c>
      <c r="AT18" s="4">
        <f>IF(корпус!G28&gt;1,'Исходные данные'!H28/корпус!G28-12.5*(корпус!G28-1)-14,IF(корпус!G28=1,'Исходные данные'!H28-14,))</f>
        <v>-14</v>
      </c>
      <c r="AU18" s="278">
        <f t="shared" si="8"/>
        <v>30</v>
      </c>
      <c r="AV18" s="4">
        <f>IF('Исходные данные'!G28&gt;1500,'Исходные данные'!G28-25/2,'Исходные данные'!G28)</f>
        <v>0</v>
      </c>
      <c r="AW18" s="4">
        <f>IF('Исходные данные'!H28&gt;1300,'Исходные данные'!H28-25/2,'Исходные данные'!H28)</f>
        <v>0</v>
      </c>
    </row>
    <row r="19" spans="1:49" ht="38.25" customHeight="1">
      <c r="B19" s="414"/>
      <c r="C19" s="415"/>
      <c r="D19" s="416"/>
      <c r="E19" s="294">
        <v>13</v>
      </c>
      <c r="F19" s="307">
        <f>'Исходные данные'!B29</f>
        <v>0</v>
      </c>
      <c r="G19" s="306" t="str">
        <f>CONCATENATE('Исходные данные'!C29,'Исходные данные'!D29,'Исходные данные'!E29,'Исходные данные'!F29,"  ",'Исходные данные'!G29,"x",'Исходные данные'!H29,'Исходные данные'!I29,'Исходные данные'!J29,'Исходные данные'!K29, "-",'Исходные данные'!L29,'Исходные данные'!M29,'Исходные данные'!N29,'Исходные данные'!O29,'Исходные данные'!P29,'Исходные данные'!Q29,'Исходные данные'!R29)</f>
        <v xml:space="preserve">  x-----</v>
      </c>
      <c r="H19" s="347"/>
      <c r="I19" s="303">
        <f>'Исходные данные'!G29</f>
        <v>0</v>
      </c>
      <c r="J19" s="304">
        <f>'Исходные данные'!H29</f>
        <v>0</v>
      </c>
      <c r="K19" s="304"/>
      <c r="L19" s="304"/>
      <c r="M19" s="304">
        <f>IF(корпус!F29&gt;1,'Исходные данные'!H29+44.6,0)</f>
        <v>0</v>
      </c>
      <c r="N19" s="304">
        <f>IF(корпус!F29&gt;1,'Исходные данные'!H29-3,0)</f>
        <v>0</v>
      </c>
      <c r="O19" s="304">
        <f>IF(корпус!G29&gt;1,'Исходные данные'!G29+45,0)</f>
        <v>0</v>
      </c>
      <c r="P19" s="304">
        <f>IF(корпус!G29&gt;1,'Исходные данные'!G29-3,0)</f>
        <v>0</v>
      </c>
      <c r="Q19" s="304" t="str">
        <f t="shared" si="0"/>
        <v>---</v>
      </c>
      <c r="R19" s="304">
        <f>'Исходные данные'!S29</f>
        <v>0</v>
      </c>
      <c r="S19" s="304">
        <f>IF(корпус!F29&gt;1,'Исходные данные'!G29/корпус!F29-12.5*(корпус!F29-1)+22,'Исходные данные'!G29+22)</f>
        <v>22</v>
      </c>
      <c r="T19" s="304">
        <f>IF(корпус!G29&gt;1,'Исходные данные'!H29/корпус!G29-12.5*(корпус!G29-1)+22,'Исходные данные'!H29+22)</f>
        <v>22</v>
      </c>
      <c r="U19" s="304">
        <f>корпус!H29</f>
        <v>0</v>
      </c>
      <c r="V19" s="304" t="str">
        <f t="shared" si="1"/>
        <v>---</v>
      </c>
      <c r="W19" s="304">
        <f>'Исходные данные'!G29/корпус!F29-12.5*(корпус!F29-1)-3</f>
        <v>-3</v>
      </c>
      <c r="X19" s="304">
        <f>'Исходные данные'!S29</f>
        <v>0</v>
      </c>
      <c r="Y19" s="304">
        <f>'Исходные данные'!G29/корпус!F29-12.5*(корпус!F29-1)-3</f>
        <v>-3</v>
      </c>
      <c r="Z19" s="304">
        <f>'Исходные данные'!S29</f>
        <v>0</v>
      </c>
      <c r="AA19" s="304">
        <f>IF('Исходные данные'!H29&gt;0,'Исходные данные'!H29/корпус!G29-12.5*(корпус!G29-1)-'Задание на ТРУМПФ'!AU19-58.5,0)</f>
        <v>0</v>
      </c>
      <c r="AB19" s="304">
        <f t="shared" si="2"/>
        <v>30</v>
      </c>
      <c r="AC19" s="304">
        <f t="shared" si="3"/>
        <v>0</v>
      </c>
      <c r="AD19" s="303">
        <f t="shared" si="4"/>
        <v>0</v>
      </c>
      <c r="AE19" s="303">
        <f t="shared" si="5"/>
        <v>0</v>
      </c>
      <c r="AF19" s="303">
        <v>0</v>
      </c>
      <c r="AG19" s="303">
        <v>0</v>
      </c>
      <c r="AH19" s="303" t="str">
        <f>Сетка!B29</f>
        <v>---</v>
      </c>
      <c r="AI19" s="303" t="str">
        <f t="shared" si="6"/>
        <v>0х0</v>
      </c>
      <c r="AJ19" s="303">
        <f t="shared" si="7"/>
        <v>0</v>
      </c>
      <c r="AK19" s="303">
        <f>МРП!F29</f>
        <v>0</v>
      </c>
      <c r="AL19" s="303">
        <f>МРП!B29</f>
        <v>0</v>
      </c>
      <c r="AM19" s="303">
        <f>МРП!C29</f>
        <v>0</v>
      </c>
      <c r="AN19" s="303">
        <f>МРП!D29</f>
        <v>0</v>
      </c>
      <c r="AO19" s="305">
        <f>МРП!E29</f>
        <v>0</v>
      </c>
      <c r="AS19" s="4">
        <f>IF(корпус!F29&gt;1,'Исходные данные'!G29/корпус!F29-12.5*(корпус!F29-1)-14,IF(корпус!F29=1,'Исходные данные'!G29-14,))</f>
        <v>-14</v>
      </c>
      <c r="AT19" s="4">
        <f>IF(корпус!G29&gt;1,'Исходные данные'!H29/корпус!G29-12.5*(корпус!G29-1)-14,IF(корпус!G29=1,'Исходные данные'!H29-14,))</f>
        <v>-14</v>
      </c>
      <c r="AU19" s="278">
        <f t="shared" si="8"/>
        <v>30</v>
      </c>
      <c r="AV19" s="4">
        <f>IF('Исходные данные'!G29&gt;1500,'Исходные данные'!G29-25/2,'Исходные данные'!G29)</f>
        <v>0</v>
      </c>
      <c r="AW19" s="4">
        <f>IF('Исходные данные'!H29&gt;1300,'Исходные данные'!H29-25/2,'Исходные данные'!H29)</f>
        <v>0</v>
      </c>
    </row>
    <row r="20" spans="1:49" ht="40.5" customHeight="1">
      <c r="B20" s="414"/>
      <c r="C20" s="415"/>
      <c r="D20" s="416"/>
      <c r="E20" s="294">
        <v>14</v>
      </c>
      <c r="F20" s="307">
        <f>'Исходные данные'!B30</f>
        <v>0</v>
      </c>
      <c r="G20" s="306" t="str">
        <f>CONCATENATE('Исходные данные'!C30,'Исходные данные'!D30,'Исходные данные'!E30,'Исходные данные'!F30,"  ",'Исходные данные'!G30,"x",'Исходные данные'!H30,'Исходные данные'!I30,'Исходные данные'!J30,'Исходные данные'!K30, "-",'Исходные данные'!L30,'Исходные данные'!M30,'Исходные данные'!N30,'Исходные данные'!O30,'Исходные данные'!P30,'Исходные данные'!Q30,'Исходные данные'!R30)</f>
        <v xml:space="preserve">  x-----</v>
      </c>
      <c r="H20" s="347"/>
      <c r="I20" s="303">
        <f>'Исходные данные'!G30</f>
        <v>0</v>
      </c>
      <c r="J20" s="304">
        <f>'Исходные данные'!H30</f>
        <v>0</v>
      </c>
      <c r="K20" s="304"/>
      <c r="L20" s="304"/>
      <c r="M20" s="304">
        <f>IF(корпус!F30&gt;1,'Исходные данные'!H30+44.6,0)</f>
        <v>0</v>
      </c>
      <c r="N20" s="304">
        <f>IF(корпус!F30&gt;1,'Исходные данные'!H30-3,0)</f>
        <v>0</v>
      </c>
      <c r="O20" s="304">
        <f>IF(корпус!G30&gt;1,'Исходные данные'!G30+45,0)</f>
        <v>0</v>
      </c>
      <c r="P20" s="304">
        <f>IF(корпус!G30&gt;1,'Исходные данные'!G30-3,0)</f>
        <v>0</v>
      </c>
      <c r="Q20" s="304" t="str">
        <f t="shared" si="0"/>
        <v>---</v>
      </c>
      <c r="R20" s="304">
        <f>'Исходные данные'!S30</f>
        <v>0</v>
      </c>
      <c r="S20" s="304">
        <f>IF(корпус!F30&gt;1,'Исходные данные'!G30/корпус!F30-12.5*(корпус!F30-1)+22,'Исходные данные'!G30+22)</f>
        <v>22</v>
      </c>
      <c r="T20" s="304">
        <f>IF(корпус!G30&gt;1,'Исходные данные'!H30/корпус!G30-12.5*(корпус!G30-1)+22,'Исходные данные'!H30+22)</f>
        <v>22</v>
      </c>
      <c r="U20" s="304">
        <f>корпус!H30</f>
        <v>0</v>
      </c>
      <c r="V20" s="304" t="str">
        <f t="shared" si="1"/>
        <v>---</v>
      </c>
      <c r="W20" s="304">
        <f>'Исходные данные'!G30/корпус!F30-12.5*(корпус!F30-1)-3</f>
        <v>-3</v>
      </c>
      <c r="X20" s="304">
        <f>'Исходные данные'!S30</f>
        <v>0</v>
      </c>
      <c r="Y20" s="304">
        <f>'Исходные данные'!G30/корпус!F30-12.5*(корпус!F30-1)-3</f>
        <v>-3</v>
      </c>
      <c r="Z20" s="304">
        <f>'Исходные данные'!S30</f>
        <v>0</v>
      </c>
      <c r="AA20" s="304">
        <f>IF('Исходные данные'!H30&gt;0,'Исходные данные'!H30/корпус!G30-12.5*(корпус!G30-1)-'Задание на ТРУМПФ'!AU20-58.5,0)</f>
        <v>0</v>
      </c>
      <c r="AB20" s="304">
        <f t="shared" si="2"/>
        <v>30</v>
      </c>
      <c r="AC20" s="304">
        <f t="shared" si="3"/>
        <v>0</v>
      </c>
      <c r="AD20" s="303">
        <f t="shared" si="4"/>
        <v>0</v>
      </c>
      <c r="AE20" s="303">
        <f t="shared" si="5"/>
        <v>0</v>
      </c>
      <c r="AF20" s="303">
        <v>0</v>
      </c>
      <c r="AG20" s="303">
        <v>0</v>
      </c>
      <c r="AH20" s="303" t="str">
        <f>Сетка!B30</f>
        <v>---</v>
      </c>
      <c r="AI20" s="303" t="str">
        <f t="shared" si="6"/>
        <v>0х0</v>
      </c>
      <c r="AJ20" s="303">
        <f t="shared" si="7"/>
        <v>0</v>
      </c>
      <c r="AK20" s="303">
        <f>МРП!F30</f>
        <v>0</v>
      </c>
      <c r="AL20" s="303">
        <f>МРП!B30</f>
        <v>0</v>
      </c>
      <c r="AM20" s="303">
        <f>МРП!C30</f>
        <v>0</v>
      </c>
      <c r="AN20" s="303">
        <f>МРП!D30</f>
        <v>0</v>
      </c>
      <c r="AO20" s="305">
        <f>МРП!E30</f>
        <v>0</v>
      </c>
      <c r="AS20" s="4">
        <f>IF(корпус!F30&gt;1,'Исходные данные'!G30/корпус!F30-12.5*(корпус!F30-1)-14,IF(корпус!F30=1,'Исходные данные'!G30-14,))</f>
        <v>-14</v>
      </c>
      <c r="AT20" s="4">
        <f>IF(корпус!G30&gt;1,'Исходные данные'!H30/корпус!G30-12.5*(корпус!G30-1)-14,IF(корпус!G30=1,'Исходные данные'!H30-14,))</f>
        <v>-14</v>
      </c>
      <c r="AU20" s="278">
        <f t="shared" si="8"/>
        <v>30</v>
      </c>
      <c r="AV20" s="4">
        <f>IF('Исходные данные'!G30&gt;1500,'Исходные данные'!G30-25/2,'Исходные данные'!G30)</f>
        <v>0</v>
      </c>
      <c r="AW20" s="4">
        <f>IF('Исходные данные'!H30&gt;1300,'Исходные данные'!H30-25/2,'Исходные данные'!H30)</f>
        <v>0</v>
      </c>
    </row>
    <row r="21" spans="1:49" ht="32.25" customHeight="1">
      <c r="B21" s="414"/>
      <c r="C21" s="415"/>
      <c r="D21" s="416"/>
      <c r="E21" s="294">
        <v>15</v>
      </c>
      <c r="F21" s="307">
        <f>'Исходные данные'!B31</f>
        <v>0</v>
      </c>
      <c r="G21" s="306" t="str">
        <f>CONCATENATE('Исходные данные'!C31,'Исходные данные'!D31,'Исходные данные'!E31,'Исходные данные'!F31,"  ",'Исходные данные'!G31,"x",'Исходные данные'!H31,'Исходные данные'!I31,'Исходные данные'!J31,'Исходные данные'!K31, "-",'Исходные данные'!L31,'Исходные данные'!M31,'Исходные данные'!N31,'Исходные данные'!O31,'Исходные данные'!P31,'Исходные данные'!Q31,'Исходные данные'!R31)</f>
        <v xml:space="preserve">  x-----</v>
      </c>
      <c r="H21" s="347"/>
      <c r="I21" s="303">
        <f>'Исходные данные'!G31</f>
        <v>0</v>
      </c>
      <c r="J21" s="304">
        <f>'Исходные данные'!H31</f>
        <v>0</v>
      </c>
      <c r="K21" s="304"/>
      <c r="L21" s="304"/>
      <c r="M21" s="304">
        <f>IF(корпус!F31&gt;1,'Исходные данные'!H31+44.6,0)</f>
        <v>0</v>
      </c>
      <c r="N21" s="304">
        <f>IF(корпус!F31&gt;1,'Исходные данные'!H31-3,0)</f>
        <v>0</v>
      </c>
      <c r="O21" s="304">
        <f>IF(корпус!G31&gt;1,'Исходные данные'!G31+45,0)</f>
        <v>0</v>
      </c>
      <c r="P21" s="304">
        <f>IF(корпус!G31&gt;1,'Исходные данные'!G31-3,0)</f>
        <v>0</v>
      </c>
      <c r="Q21" s="304" t="str">
        <f t="shared" si="0"/>
        <v>---</v>
      </c>
      <c r="R21" s="304">
        <f>'Исходные данные'!S31</f>
        <v>0</v>
      </c>
      <c r="S21" s="304">
        <f>IF(корпус!F31&gt;1,'Исходные данные'!G31/корпус!F31-12.5*(корпус!F31-1)+22,'Исходные данные'!G31+22)</f>
        <v>22</v>
      </c>
      <c r="T21" s="304">
        <f>IF(корпус!G31&gt;1,'Исходные данные'!H31/корпус!G31-12.5*(корпус!G31-1)+22,'Исходные данные'!H31+22)</f>
        <v>22</v>
      </c>
      <c r="U21" s="304">
        <f>корпус!H31</f>
        <v>0</v>
      </c>
      <c r="V21" s="304" t="str">
        <f t="shared" si="1"/>
        <v>---</v>
      </c>
      <c r="W21" s="304">
        <f>'Исходные данные'!G31/корпус!F31-12.5*(корпус!F31-1)-3</f>
        <v>-3</v>
      </c>
      <c r="X21" s="304">
        <f>'Исходные данные'!S31</f>
        <v>0</v>
      </c>
      <c r="Y21" s="304">
        <f>'Исходные данные'!G31/корпус!F31-12.5*(корпус!F31-1)-3</f>
        <v>-3</v>
      </c>
      <c r="Z21" s="304">
        <f>'Исходные данные'!S31</f>
        <v>0</v>
      </c>
      <c r="AA21" s="304">
        <f>IF('Исходные данные'!H31&gt;0,'Исходные данные'!H31/корпус!G31-12.5*(корпус!G31-1)-'Задание на ТРУМПФ'!AU21-58.5,0)</f>
        <v>0</v>
      </c>
      <c r="AB21" s="304">
        <f t="shared" si="2"/>
        <v>30</v>
      </c>
      <c r="AC21" s="304">
        <f t="shared" si="3"/>
        <v>0</v>
      </c>
      <c r="AD21" s="303">
        <f t="shared" si="4"/>
        <v>0</v>
      </c>
      <c r="AE21" s="303">
        <f t="shared" si="5"/>
        <v>0</v>
      </c>
      <c r="AF21" s="303">
        <v>0</v>
      </c>
      <c r="AG21" s="303">
        <v>0</v>
      </c>
      <c r="AH21" s="303" t="str">
        <f>Сетка!B31</f>
        <v>---</v>
      </c>
      <c r="AI21" s="303" t="str">
        <f t="shared" si="6"/>
        <v>0х0</v>
      </c>
      <c r="AJ21" s="303">
        <f t="shared" si="7"/>
        <v>0</v>
      </c>
      <c r="AK21" s="303">
        <f>МРП!F31</f>
        <v>0</v>
      </c>
      <c r="AL21" s="303">
        <f>МРП!B31</f>
        <v>0</v>
      </c>
      <c r="AM21" s="303">
        <f>МРП!C31</f>
        <v>0</v>
      </c>
      <c r="AN21" s="303">
        <f>МРП!D31</f>
        <v>0</v>
      </c>
      <c r="AO21" s="305">
        <f>МРП!E31</f>
        <v>0</v>
      </c>
      <c r="AS21" s="4">
        <f>IF(корпус!F31&gt;1,'Исходные данные'!G31/корпус!F31-12.5*(корпус!F31-1)-14,IF(корпус!F31=1,'Исходные данные'!G31-14,))</f>
        <v>-14</v>
      </c>
      <c r="AT21" s="4">
        <f>IF(корпус!G31&gt;1,'Исходные данные'!H31/корпус!G31-12.5*(корпус!G31-1)-14,IF(корпус!G31=1,'Исходные данные'!H31-14,))</f>
        <v>-14</v>
      </c>
      <c r="AU21" s="278">
        <f t="shared" si="8"/>
        <v>30</v>
      </c>
      <c r="AV21" s="4">
        <f>IF('Исходные данные'!G31&gt;1500,'Исходные данные'!G31-25/2,'Исходные данные'!G31)</f>
        <v>0</v>
      </c>
      <c r="AW21" s="4">
        <f>IF('Исходные данные'!H31&gt;1300,'Исходные данные'!H31-25/2,'Исходные данные'!H31)</f>
        <v>0</v>
      </c>
    </row>
    <row r="22" spans="1:49" ht="23.25" hidden="1">
      <c r="B22" s="414"/>
      <c r="C22" s="415"/>
      <c r="D22" s="416"/>
      <c r="E22" s="294">
        <f t="shared" ref="E22:E24" si="9">E21+1</f>
        <v>16</v>
      </c>
      <c r="F22" s="307">
        <f>'Исходные данные'!B32</f>
        <v>0</v>
      </c>
      <c r="G22" s="306" t="str">
        <f>CONCATENATE('Исходные данные'!C32,'Исходные данные'!D32,'Исходные данные'!E32,'Исходные данные'!F32,"  ",'Исходные данные'!G32,"x",'Исходные данные'!H32,'Исходные данные'!I32,'Исходные данные'!J32,'Исходные данные'!K32, "-",'Исходные данные'!L32,'Исходные данные'!M32,'Исходные данные'!N32,'Исходные данные'!O32,'Исходные данные'!P32,'Исходные данные'!Q32,'Исходные данные'!R32)</f>
        <v xml:space="preserve">  x-</v>
      </c>
      <c r="H22" s="347"/>
      <c r="I22" s="303">
        <f>'Исходные данные'!G32</f>
        <v>0</v>
      </c>
      <c r="J22" s="304">
        <f>'Исходные данные'!H32</f>
        <v>0</v>
      </c>
      <c r="K22" s="304"/>
      <c r="L22" s="304"/>
      <c r="M22" s="304">
        <f>IF(корпус!F32&gt;1,'Исходные данные'!H32+44.6,0)</f>
        <v>0</v>
      </c>
      <c r="N22" s="304">
        <f>IF(корпус!F32&gt;1,'Исходные данные'!H32-3,0)</f>
        <v>0</v>
      </c>
      <c r="O22" s="304">
        <f>IF(корпус!G32&gt;1,'Исходные данные'!G32+45,0)</f>
        <v>0</v>
      </c>
      <c r="P22" s="304">
        <f>IF(корпус!G32&gt;1,'Исходные данные'!G32-3,0)</f>
        <v>0</v>
      </c>
      <c r="Q22" s="304" t="str">
        <f t="shared" si="0"/>
        <v>---</v>
      </c>
      <c r="R22" s="304">
        <f>'Исходные данные'!S32</f>
        <v>0</v>
      </c>
      <c r="S22" s="304">
        <f>IF(корпус!F32&gt;1,'Исходные данные'!G32/корпус!F32-12.5*(корпус!F32-1)+22,'Исходные данные'!G32+22)</f>
        <v>22</v>
      </c>
      <c r="T22" s="304">
        <f>IF(корпус!G32&gt;1,'Исходные данные'!H32/корпус!G32-12.5*(корпус!G32-1)+22,'Исходные данные'!H32+22)</f>
        <v>22</v>
      </c>
      <c r="U22" s="304">
        <f>корпус!H32</f>
        <v>0</v>
      </c>
      <c r="V22" s="304" t="str">
        <f t="shared" si="1"/>
        <v>---</v>
      </c>
      <c r="W22" s="304" t="e">
        <f>'Исходные данные'!G32/корпус!F32-12.5*(корпус!F32-1)-3</f>
        <v>#DIV/0!</v>
      </c>
      <c r="X22" s="304">
        <f>'Исходные данные'!S32</f>
        <v>0</v>
      </c>
      <c r="Y22" s="304" t="e">
        <f>'Исходные данные'!G32/корпус!F32-12.5*(корпус!F32-1)-3</f>
        <v>#DIV/0!</v>
      </c>
      <c r="Z22" s="304">
        <f>'Исходные данные'!S32</f>
        <v>0</v>
      </c>
      <c r="AA22" s="304">
        <f>IF('Исходные данные'!H32&gt;0,'Исходные данные'!H32/корпус!G32-12.5*(корпус!G32-1)-'Задание на ТРУМПФ'!AU22-58.5,0)</f>
        <v>0</v>
      </c>
      <c r="AB22" s="304">
        <f t="shared" si="2"/>
        <v>30</v>
      </c>
      <c r="AC22" s="304">
        <f t="shared" si="3"/>
        <v>0</v>
      </c>
      <c r="AD22" s="303">
        <f t="shared" si="4"/>
        <v>0</v>
      </c>
      <c r="AE22" s="303">
        <f t="shared" si="5"/>
        <v>0</v>
      </c>
      <c r="AF22" s="303">
        <v>0</v>
      </c>
      <c r="AG22" s="303">
        <v>0</v>
      </c>
      <c r="AH22" s="303">
        <f>Сетка!B32</f>
        <v>0</v>
      </c>
      <c r="AI22" s="303" t="str">
        <f t="shared" si="6"/>
        <v>0х0</v>
      </c>
      <c r="AJ22" s="303">
        <f t="shared" si="7"/>
        <v>0</v>
      </c>
      <c r="AK22" s="303">
        <f>МРП!F32</f>
        <v>0</v>
      </c>
      <c r="AL22" s="303">
        <f>МРП!B32</f>
        <v>0</v>
      </c>
      <c r="AM22" s="303">
        <f>МРП!C32</f>
        <v>0</v>
      </c>
      <c r="AN22" s="303">
        <f>МРП!D32</f>
        <v>0</v>
      </c>
      <c r="AO22" s="305">
        <f>МРП!E32</f>
        <v>0</v>
      </c>
      <c r="AU22" s="278">
        <f t="shared" ref="AU22:AU27" si="10">IF(AW22&lt;400,30,IF(AW22&lt;450,95,IF(AW22&lt;1300,135,)))</f>
        <v>30</v>
      </c>
    </row>
    <row r="23" spans="1:49" ht="116.25" hidden="1">
      <c r="B23" s="414"/>
      <c r="C23" s="415"/>
      <c r="D23" s="416"/>
      <c r="E23" s="127">
        <f t="shared" si="9"/>
        <v>17</v>
      </c>
      <c r="F23" s="307">
        <f>'Исходные данные'!B33</f>
        <v>0</v>
      </c>
      <c r="G23" s="306" t="str">
        <f>CONCATENATE('Исходные данные'!C33,'Исходные данные'!D33,'Исходные данные'!E33,'Исходные данные'!F33,"  ",'Исходные данные'!G33,"x",'Исходные данные'!H33,'Исходные данные'!I33,'Исходные данные'!J33,'Исходные данные'!K33, "-",'Исходные данные'!L33,'Исходные данные'!M33,'Исходные данные'!N33,'Исходные данные'!O33,'Исходные данные'!P33,'Исходные данные'!Q33,'Исходные данные'!R33)</f>
        <v xml:space="preserve">  x-</v>
      </c>
      <c r="H23" s="347"/>
      <c r="I23" s="303">
        <f>'Исходные данные'!G33</f>
        <v>0</v>
      </c>
      <c r="J23" s="304">
        <f>'Исходные данные'!H33</f>
        <v>0</v>
      </c>
      <c r="K23" s="304"/>
      <c r="L23" s="304"/>
      <c r="M23" s="304">
        <f>IF(корпус!F33&gt;1,'Исходные данные'!H33+44.6,0)</f>
        <v>0</v>
      </c>
      <c r="N23" s="304">
        <f>IF(корпус!F33&gt;1,'Исходные данные'!H33-3,0)</f>
        <v>0</v>
      </c>
      <c r="O23" s="304">
        <f>IF(корпус!G33&gt;1,'Исходные данные'!G33+45,0)</f>
        <v>0</v>
      </c>
      <c r="P23" s="304">
        <f>IF(корпус!G33&gt;1,'Исходные данные'!G33-3,0)</f>
        <v>0</v>
      </c>
      <c r="Q23" s="304" t="str">
        <f t="shared" si="0"/>
        <v>---</v>
      </c>
      <c r="R23" s="304">
        <f>'Исходные данные'!S33</f>
        <v>0</v>
      </c>
      <c r="S23" s="304">
        <f>IF(корпус!F33&gt;1,'Исходные данные'!G33/корпус!F33-12.5*(корпус!F33-1)+22,'Исходные данные'!G33+22)</f>
        <v>22</v>
      </c>
      <c r="T23" s="304">
        <f>IF(корпус!G33&gt;1,'Исходные данные'!H33/корпус!G33-12.5*(корпус!G33-1)+22,'Исходные данные'!H33+22)</f>
        <v>22</v>
      </c>
      <c r="U23" s="304">
        <f>корпус!H33</f>
        <v>0</v>
      </c>
      <c r="V23" s="304" t="str">
        <f t="shared" si="1"/>
        <v>---</v>
      </c>
      <c r="W23" s="304" t="e">
        <f>'Исходные данные'!G33/корпус!F33-12.5*(корпус!F33-1)-3</f>
        <v>#DIV/0!</v>
      </c>
      <c r="X23" s="304">
        <f>'Исходные данные'!S33</f>
        <v>0</v>
      </c>
      <c r="Y23" s="304" t="e">
        <f>'Исходные данные'!G33/корпус!F33-12.5*(корпус!F33-1)-3</f>
        <v>#DIV/0!</v>
      </c>
      <c r="Z23" s="304">
        <f>'Исходные данные'!S33</f>
        <v>0</v>
      </c>
      <c r="AA23" s="304">
        <f>IF('Исходные данные'!H33&gt;0,'Исходные данные'!H33/корпус!G33-12.5*(корпус!G33-1)-'Задание на ТРУМПФ'!AU23-58.5,0)</f>
        <v>0</v>
      </c>
      <c r="AB23" s="304">
        <f t="shared" si="2"/>
        <v>30</v>
      </c>
      <c r="AC23" s="304">
        <f t="shared" si="3"/>
        <v>0</v>
      </c>
      <c r="AD23" s="303">
        <f t="shared" si="4"/>
        <v>0</v>
      </c>
      <c r="AE23" s="303">
        <f t="shared" si="5"/>
        <v>0</v>
      </c>
      <c r="AF23" s="303">
        <v>0</v>
      </c>
      <c r="AG23" s="303">
        <v>0</v>
      </c>
      <c r="AH23" s="303">
        <f>Сетка!B33</f>
        <v>0</v>
      </c>
      <c r="AI23" s="303" t="str">
        <f t="shared" si="6"/>
        <v>0х0</v>
      </c>
      <c r="AJ23" s="303">
        <f t="shared" si="7"/>
        <v>0</v>
      </c>
      <c r="AK23" s="303">
        <f>МРП!F33</f>
        <v>0</v>
      </c>
      <c r="AL23" s="303" t="str">
        <f>МРП!B33</f>
        <v>Вырубка</v>
      </c>
      <c r="AM23" s="303" t="str">
        <f>МРП!C33</f>
        <v>______________</v>
      </c>
      <c r="AN23" s="303">
        <f>МРП!D33</f>
        <v>0</v>
      </c>
      <c r="AO23" s="305">
        <f>МРП!E33</f>
        <v>0</v>
      </c>
      <c r="AU23" s="278">
        <f t="shared" si="10"/>
        <v>30</v>
      </c>
    </row>
    <row r="24" spans="1:49" ht="23.25" hidden="1">
      <c r="B24" s="414"/>
      <c r="C24" s="415"/>
      <c r="D24" s="416"/>
      <c r="E24" s="127">
        <f t="shared" si="9"/>
        <v>18</v>
      </c>
      <c r="F24" s="307">
        <f>'Исходные данные'!B34</f>
        <v>0</v>
      </c>
      <c r="G24" s="306" t="str">
        <f>CONCATENATE('Исходные данные'!C34,'Исходные данные'!D34,'Исходные данные'!E34,'Исходные данные'!F34,"  ",'Исходные данные'!G34,"x",'Исходные данные'!H34,'Исходные данные'!I34,'Исходные данные'!J34,'Исходные данные'!K34, "-",'Исходные данные'!L34,'Исходные данные'!M34,'Исходные данные'!N34,'Исходные данные'!O34,'Исходные данные'!P34,'Исходные данные'!Q34,'Исходные данные'!R34)</f>
        <v xml:space="preserve">  x-</v>
      </c>
      <c r="H24" s="347"/>
      <c r="I24" s="303">
        <f>'Исходные данные'!G34</f>
        <v>0</v>
      </c>
      <c r="J24" s="304">
        <f>'Исходные данные'!H34</f>
        <v>0</v>
      </c>
      <c r="K24" s="304"/>
      <c r="L24" s="304"/>
      <c r="M24" s="304">
        <f>IF(корпус!F34&gt;1,'Исходные данные'!H34+44.6,0)</f>
        <v>0</v>
      </c>
      <c r="N24" s="304">
        <f>IF(корпус!F34&gt;1,'Исходные данные'!H34-3,0)</f>
        <v>0</v>
      </c>
      <c r="O24" s="304">
        <f>IF(корпус!G34&gt;1,'Исходные данные'!G34+45,0)</f>
        <v>0</v>
      </c>
      <c r="P24" s="304">
        <f>IF(корпус!G34&gt;1,'Исходные данные'!G34-3,0)</f>
        <v>0</v>
      </c>
      <c r="Q24" s="304" t="str">
        <f t="shared" si="0"/>
        <v>---</v>
      </c>
      <c r="R24" s="304">
        <f>'Исходные данные'!S34</f>
        <v>0</v>
      </c>
      <c r="S24" s="304">
        <f>IF(корпус!F34&gt;1,'Исходные данные'!G34/корпус!F34-12.5*(корпус!F34-1)+22,'Исходные данные'!G34+22)</f>
        <v>22</v>
      </c>
      <c r="T24" s="304">
        <f>IF(корпус!G34&gt;1,'Исходные данные'!H34/корпус!G34-12.5*(корпус!G34-1)+22,'Исходные данные'!H34+22)</f>
        <v>22</v>
      </c>
      <c r="U24" s="304">
        <f>корпус!H34</f>
        <v>0</v>
      </c>
      <c r="V24" s="304" t="str">
        <f t="shared" si="1"/>
        <v>---</v>
      </c>
      <c r="W24" s="304" t="e">
        <f>'Исходные данные'!G34/корпус!F34-12.5*(корпус!F34-1)-3</f>
        <v>#DIV/0!</v>
      </c>
      <c r="X24" s="304">
        <f>'Исходные данные'!S34</f>
        <v>0</v>
      </c>
      <c r="Y24" s="304" t="e">
        <f>'Исходные данные'!G34/корпус!F34-12.5*(корпус!F34-1)-3</f>
        <v>#DIV/0!</v>
      </c>
      <c r="Z24" s="304">
        <f>'Исходные данные'!S34</f>
        <v>0</v>
      </c>
      <c r="AA24" s="304">
        <f>IF('Исходные данные'!H34&gt;0,'Исходные данные'!H34/корпус!G34-12.5*(корпус!G34-1)-'Задание на ТРУМПФ'!AU24-58.5,0)</f>
        <v>0</v>
      </c>
      <c r="AB24" s="304">
        <f t="shared" si="2"/>
        <v>30</v>
      </c>
      <c r="AC24" s="304">
        <f t="shared" si="3"/>
        <v>0</v>
      </c>
      <c r="AD24" s="303">
        <f t="shared" si="4"/>
        <v>0</v>
      </c>
      <c r="AE24" s="303">
        <f t="shared" si="5"/>
        <v>0</v>
      </c>
      <c r="AF24" s="303">
        <v>0</v>
      </c>
      <c r="AG24" s="303">
        <v>0</v>
      </c>
      <c r="AH24" s="303">
        <f>Сетка!B34</f>
        <v>0</v>
      </c>
      <c r="AI24" s="303" t="str">
        <f t="shared" si="6"/>
        <v>0х0</v>
      </c>
      <c r="AJ24" s="303">
        <f t="shared" si="7"/>
        <v>0</v>
      </c>
      <c r="AK24" s="303">
        <f>МРП!F34</f>
        <v>0</v>
      </c>
      <c r="AL24" s="303">
        <f>МРП!B34</f>
        <v>0</v>
      </c>
      <c r="AM24" s="303">
        <f>МРП!C34</f>
        <v>0</v>
      </c>
      <c r="AN24" s="303">
        <f>МРП!D34</f>
        <v>0</v>
      </c>
      <c r="AO24" s="305">
        <f>МРП!E34</f>
        <v>0</v>
      </c>
      <c r="AU24" s="278">
        <f t="shared" si="10"/>
        <v>30</v>
      </c>
    </row>
    <row r="25" spans="1:49" ht="116.25" hidden="1">
      <c r="B25" s="414"/>
      <c r="C25" s="415"/>
      <c r="D25" s="416"/>
      <c r="E25" s="127">
        <f>E24+1</f>
        <v>19</v>
      </c>
      <c r="F25" s="307">
        <f>'Исходные данные'!B35</f>
        <v>0</v>
      </c>
      <c r="G25" s="306" t="str">
        <f>CONCATENATE('Исходные данные'!C35,'Исходные данные'!D35,'Исходные данные'!E35,'Исходные данные'!F35,"  ",'Исходные данные'!G35,"x",'Исходные данные'!H35,'Исходные данные'!I35,'Исходные данные'!J35,'Исходные данные'!K35, "-",'Исходные данные'!L35,'Исходные данные'!M35,'Исходные данные'!N35,'Исходные данные'!O35,'Исходные данные'!P35,'Исходные данные'!Q35,'Исходные данные'!R35)</f>
        <v xml:space="preserve">  x-</v>
      </c>
      <c r="H25" s="347"/>
      <c r="I25" s="303">
        <f>'Исходные данные'!G35</f>
        <v>0</v>
      </c>
      <c r="J25" s="304">
        <f>'Исходные данные'!H35</f>
        <v>0</v>
      </c>
      <c r="K25" s="304"/>
      <c r="L25" s="304"/>
      <c r="M25" s="304">
        <f>IF(корпус!F35&gt;1,'Исходные данные'!H35+44.6,0)</f>
        <v>0</v>
      </c>
      <c r="N25" s="304">
        <f>IF(корпус!F35&gt;1,'Исходные данные'!H35-3,0)</f>
        <v>0</v>
      </c>
      <c r="O25" s="304">
        <f>IF(корпус!G35&gt;1,'Исходные данные'!G35+45,0)</f>
        <v>0</v>
      </c>
      <c r="P25" s="304">
        <f>IF(корпус!G35&gt;1,'Исходные данные'!G35-3,0)</f>
        <v>0</v>
      </c>
      <c r="Q25" s="304" t="str">
        <f t="shared" si="0"/>
        <v>---</v>
      </c>
      <c r="R25" s="304">
        <f>'Исходные данные'!S35</f>
        <v>0</v>
      </c>
      <c r="S25" s="304">
        <f>IF(корпус!F35&gt;1,'Исходные данные'!G35/корпус!F35-12.5*(корпус!F35-1)+22,'Исходные данные'!G35+22)</f>
        <v>22</v>
      </c>
      <c r="T25" s="304">
        <f>IF(корпус!G35&gt;1,'Исходные данные'!H35/корпус!G35-12.5*(корпус!G35-1)+22,'Исходные данные'!H35+22)</f>
        <v>22</v>
      </c>
      <c r="U25" s="304">
        <f>корпус!H35</f>
        <v>0</v>
      </c>
      <c r="V25" s="304" t="str">
        <f t="shared" si="1"/>
        <v>---</v>
      </c>
      <c r="W25" s="304" t="e">
        <f>'Исходные данные'!G35/корпус!F35-12.5*(корпус!F35-1)-3</f>
        <v>#DIV/0!</v>
      </c>
      <c r="X25" s="304">
        <f>'Исходные данные'!S35</f>
        <v>0</v>
      </c>
      <c r="Y25" s="304" t="e">
        <f>'Исходные данные'!G35/корпус!F35-12.5*(корпус!F35-1)-3</f>
        <v>#DIV/0!</v>
      </c>
      <c r="Z25" s="304">
        <f>'Исходные данные'!S35</f>
        <v>0</v>
      </c>
      <c r="AA25" s="304">
        <f>IF('Исходные данные'!H35&gt;0,'Исходные данные'!H35/корпус!G35-12.5*(корпус!G35-1)-'Задание на ТРУМПФ'!AU25-58.5,0)</f>
        <v>0</v>
      </c>
      <c r="AB25" s="304">
        <f t="shared" si="2"/>
        <v>30</v>
      </c>
      <c r="AC25" s="304">
        <f t="shared" si="3"/>
        <v>0</v>
      </c>
      <c r="AD25" s="303">
        <f t="shared" si="4"/>
        <v>0</v>
      </c>
      <c r="AE25" s="303">
        <f t="shared" si="5"/>
        <v>0</v>
      </c>
      <c r="AF25" s="303">
        <v>0</v>
      </c>
      <c r="AG25" s="303">
        <v>0</v>
      </c>
      <c r="AH25" s="303">
        <f>Сетка!B35</f>
        <v>0</v>
      </c>
      <c r="AI25" s="303" t="str">
        <f t="shared" si="6"/>
        <v>0х0</v>
      </c>
      <c r="AJ25" s="303">
        <f t="shared" si="7"/>
        <v>0</v>
      </c>
      <c r="AK25" s="303">
        <f>МРП!F35</f>
        <v>0</v>
      </c>
      <c r="AL25" s="303" t="str">
        <f>МРП!B35</f>
        <v>Гибка</v>
      </c>
      <c r="AM25" s="303" t="str">
        <f>МРП!C35</f>
        <v>______________</v>
      </c>
      <c r="AN25" s="303">
        <f>МРП!D35</f>
        <v>0</v>
      </c>
      <c r="AO25" s="305">
        <f>МРП!E35</f>
        <v>0</v>
      </c>
      <c r="AU25" s="278">
        <f t="shared" si="10"/>
        <v>30</v>
      </c>
    </row>
    <row r="26" spans="1:49" ht="116.25" hidden="1">
      <c r="A26" s="417" t="s">
        <v>149</v>
      </c>
      <c r="B26" s="414"/>
      <c r="C26" s="415"/>
      <c r="D26" s="416"/>
      <c r="E26" s="127">
        <f>E25+1</f>
        <v>20</v>
      </c>
      <c r="F26" s="307">
        <f>'Исходные данные'!B36</f>
        <v>0</v>
      </c>
      <c r="G26" s="306" t="str">
        <f>CONCATENATE('Исходные данные'!C36,'Исходные данные'!D36,'Исходные данные'!E36,'Исходные данные'!F36,"  ",'Исходные данные'!G36,"x",'Исходные данные'!H36,'Исходные данные'!I36,'Исходные данные'!J36,'Исходные данные'!K36, "-",'Исходные данные'!L36,'Исходные данные'!M36,'Исходные данные'!N36,'Исходные данные'!O36,'Исходные данные'!P36,'Исходные данные'!Q36,'Исходные данные'!R36)</f>
        <v xml:space="preserve">  x-</v>
      </c>
      <c r="H26" s="347"/>
      <c r="I26" s="303">
        <f>'Исходные данные'!G36</f>
        <v>0</v>
      </c>
      <c r="J26" s="304">
        <f>'Исходные данные'!H36</f>
        <v>0</v>
      </c>
      <c r="K26" s="304"/>
      <c r="L26" s="304"/>
      <c r="M26" s="304">
        <f>IF(корпус!F36&gt;1,'Исходные данные'!H36+44.6,0)</f>
        <v>0</v>
      </c>
      <c r="N26" s="304">
        <f>IF(корпус!F36&gt;1,'Исходные данные'!H36-3,0)</f>
        <v>0</v>
      </c>
      <c r="O26" s="304">
        <f>IF(корпус!G36&gt;1,'Исходные данные'!G36+45,0)</f>
        <v>0</v>
      </c>
      <c r="P26" s="304">
        <f>IF(корпус!G36&gt;1,'Исходные данные'!G36-3,0)</f>
        <v>0</v>
      </c>
      <c r="Q26" s="304" t="str">
        <f t="shared" si="0"/>
        <v>---</v>
      </c>
      <c r="R26" s="304">
        <f>'Исходные данные'!S36</f>
        <v>0</v>
      </c>
      <c r="S26" s="304">
        <f>IF(корпус!F36&gt;1,'Исходные данные'!G36/корпус!F36-12.5*(корпус!F36-1)+22,'Исходные данные'!G36+22)</f>
        <v>22</v>
      </c>
      <c r="T26" s="304">
        <f>IF(корпус!G36&gt;1,'Исходные данные'!H36/корпус!G36-12.5*(корпус!G36-1)+22,'Исходные данные'!H36+22)</f>
        <v>22</v>
      </c>
      <c r="U26" s="304">
        <f>корпус!H36</f>
        <v>0</v>
      </c>
      <c r="V26" s="304" t="str">
        <f t="shared" si="1"/>
        <v>---</v>
      </c>
      <c r="W26" s="304" t="e">
        <f>'Исходные данные'!G36/корпус!F36-12.5*(корпус!F36-1)-3</f>
        <v>#DIV/0!</v>
      </c>
      <c r="X26" s="304">
        <f>'Исходные данные'!S36</f>
        <v>0</v>
      </c>
      <c r="Y26" s="304" t="e">
        <f>'Исходные данные'!G36/корпус!F36-12.5*(корпус!F36-1)-3</f>
        <v>#DIV/0!</v>
      </c>
      <c r="Z26" s="304">
        <f>'Исходные данные'!S36</f>
        <v>0</v>
      </c>
      <c r="AA26" s="304">
        <f>IF('Исходные данные'!H36&gt;0,'Исходные данные'!H36/корпус!G36-12.5*(корпус!G36-1)-'Задание на ТРУМПФ'!AU26-58.5,0)</f>
        <v>0</v>
      </c>
      <c r="AB26" s="304">
        <f t="shared" si="2"/>
        <v>30</v>
      </c>
      <c r="AC26" s="304">
        <f t="shared" si="3"/>
        <v>0</v>
      </c>
      <c r="AD26" s="303">
        <f t="shared" si="4"/>
        <v>0</v>
      </c>
      <c r="AE26" s="303">
        <f t="shared" si="5"/>
        <v>0</v>
      </c>
      <c r="AF26" s="303">
        <v>0</v>
      </c>
      <c r="AG26" s="303">
        <v>0</v>
      </c>
      <c r="AH26" s="303" t="str">
        <f>Сетка!B36</f>
        <v>Талон для отрыва диспетчеру</v>
      </c>
      <c r="AI26" s="303" t="str">
        <f t="shared" si="6"/>
        <v>0х0</v>
      </c>
      <c r="AJ26" s="303">
        <f t="shared" si="7"/>
        <v>0</v>
      </c>
      <c r="AK26" s="303">
        <f>МРП!F36</f>
        <v>0</v>
      </c>
      <c r="AL26" s="303">
        <f>МРП!B36</f>
        <v>0</v>
      </c>
      <c r="AM26" s="303">
        <f>МРП!C36</f>
        <v>0</v>
      </c>
      <c r="AN26" s="303">
        <f>МРП!D36</f>
        <v>0</v>
      </c>
      <c r="AO26" s="305">
        <f>МРП!E36</f>
        <v>0</v>
      </c>
      <c r="AU26" s="278">
        <f t="shared" si="10"/>
        <v>30</v>
      </c>
    </row>
    <row r="27" spans="1:49" ht="163.5" hidden="1" thickBot="1">
      <c r="A27" s="417"/>
      <c r="B27" s="414"/>
      <c r="C27" s="415"/>
      <c r="D27" s="416"/>
      <c r="E27" s="139">
        <f>E26+1</f>
        <v>21</v>
      </c>
      <c r="F27" s="307">
        <f>'Исходные данные'!B37</f>
        <v>0</v>
      </c>
      <c r="G27" s="306" t="str">
        <f>CONCATENATE('Исходные данные'!C37,'Исходные данные'!D37,'Исходные данные'!E37,'Исходные данные'!F37,"  ",'Исходные данные'!G37,"x",'Исходные данные'!H37,'Исходные данные'!I37,'Исходные данные'!J37,'Исходные данные'!K37, "-",'Исходные данные'!L37,'Исходные данные'!M37,'Исходные данные'!N37,'Исходные данные'!O37,'Исходные данные'!P37,'Исходные данные'!Q37,'Исходные данные'!R37)</f>
        <v xml:space="preserve">  x-</v>
      </c>
      <c r="H27" s="347"/>
      <c r="I27" s="303">
        <f>'Исходные данные'!G37</f>
        <v>0</v>
      </c>
      <c r="J27" s="304">
        <f>'Исходные данные'!H37</f>
        <v>0</v>
      </c>
      <c r="K27" s="304"/>
      <c r="L27" s="304"/>
      <c r="M27" s="304">
        <f>IF(корпус!F37&gt;1,'Исходные данные'!H37+44.6,0)</f>
        <v>0</v>
      </c>
      <c r="N27" s="304">
        <f>IF(корпус!F37&gt;1,'Исходные данные'!H37-3,0)</f>
        <v>0</v>
      </c>
      <c r="O27" s="304">
        <f>IF(корпус!G37&gt;1,'Исходные данные'!G37+45,0)</f>
        <v>0</v>
      </c>
      <c r="P27" s="304">
        <f>IF(корпус!G37&gt;1,'Исходные данные'!G37-3,0)</f>
        <v>0</v>
      </c>
      <c r="Q27" s="304" t="str">
        <f t="shared" si="0"/>
        <v>---</v>
      </c>
      <c r="R27" s="304">
        <f>'Исходные данные'!S37</f>
        <v>0</v>
      </c>
      <c r="S27" s="304">
        <f>IF(корпус!F37&gt;1,'Исходные данные'!G37/корпус!F37-12.5*(корпус!F37-1)+22,'Исходные данные'!G37+22)</f>
        <v>22</v>
      </c>
      <c r="T27" s="304">
        <f>IF(корпус!G37&gt;1,'Исходные данные'!H37/корпус!G37-12.5*(корпус!G37-1)+22,'Исходные данные'!H37+22)</f>
        <v>22</v>
      </c>
      <c r="U27" s="304">
        <f>корпус!H37</f>
        <v>0</v>
      </c>
      <c r="V27" s="304" t="str">
        <f t="shared" si="1"/>
        <v>---</v>
      </c>
      <c r="W27" s="304" t="e">
        <f>'Исходные данные'!G37/корпус!F37-12.5*(корпус!F37-1)-3</f>
        <v>#DIV/0!</v>
      </c>
      <c r="X27" s="304">
        <f>'Исходные данные'!S37</f>
        <v>0</v>
      </c>
      <c r="Y27" s="304" t="e">
        <f>'Исходные данные'!G37/корпус!F37-12.5*(корпус!F37-1)-3</f>
        <v>#DIV/0!</v>
      </c>
      <c r="Z27" s="304">
        <f>'Исходные данные'!S37</f>
        <v>0</v>
      </c>
      <c r="AA27" s="304">
        <f>IF('Исходные данные'!H37&gt;0,'Исходные данные'!H37/корпус!G37-12.5*(корпус!G37-1)-'Задание на ТРУМПФ'!AU27-58.5,0)</f>
        <v>0</v>
      </c>
      <c r="AB27" s="304">
        <f t="shared" si="2"/>
        <v>30</v>
      </c>
      <c r="AC27" s="304">
        <f t="shared" si="3"/>
        <v>0</v>
      </c>
      <c r="AD27" s="303">
        <f t="shared" si="4"/>
        <v>0</v>
      </c>
      <c r="AE27" s="303">
        <f t="shared" si="5"/>
        <v>0</v>
      </c>
      <c r="AF27" s="303">
        <v>0</v>
      </c>
      <c r="AG27" s="303">
        <v>0</v>
      </c>
      <c r="AH27" s="303" t="str">
        <f>Сетка!B37</f>
        <v>Сопроводительная №</v>
      </c>
      <c r="AI27" s="303" t="str">
        <f t="shared" si="6"/>
        <v>0х0</v>
      </c>
      <c r="AJ27" s="303">
        <f t="shared" si="7"/>
        <v>0</v>
      </c>
      <c r="AK27" s="303">
        <f>МРП!F37</f>
        <v>0</v>
      </c>
      <c r="AL27" s="303" t="str">
        <f>МРП!B37</f>
        <v>Талон для отрыва диспетчеру</v>
      </c>
      <c r="AM27" s="303">
        <f>МРП!C37</f>
        <v>0</v>
      </c>
      <c r="AN27" s="303">
        <f>МРП!D37</f>
        <v>0</v>
      </c>
      <c r="AO27" s="305">
        <f>МРП!E37</f>
        <v>0</v>
      </c>
      <c r="AU27" s="278">
        <f t="shared" si="10"/>
        <v>30</v>
      </c>
    </row>
    <row r="28" spans="1:49" ht="19.5" thickBot="1">
      <c r="A28" s="417"/>
      <c r="B28" s="414"/>
      <c r="C28" s="415"/>
      <c r="D28" s="41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</row>
    <row r="29" spans="1:49" ht="30" customHeight="1" thickBot="1">
      <c r="A29" s="417"/>
      <c r="B29" s="414"/>
      <c r="C29" s="415"/>
      <c r="D29" s="416"/>
      <c r="E29" s="406" t="s">
        <v>163</v>
      </c>
      <c r="F29" s="406"/>
      <c r="G29" s="406"/>
      <c r="H29" s="406"/>
      <c r="I29" s="406"/>
      <c r="J29" s="406"/>
      <c r="K29" s="406"/>
      <c r="L29" s="406"/>
      <c r="M29" s="406"/>
      <c r="N29" s="406"/>
      <c r="O29" s="406"/>
      <c r="P29" s="406"/>
      <c r="Q29" s="406"/>
      <c r="R29" s="406"/>
      <c r="S29" s="406"/>
      <c r="T29" s="406"/>
      <c r="U29" s="406"/>
      <c r="V29" s="406"/>
      <c r="W29" s="413" t="s">
        <v>164</v>
      </c>
      <c r="X29" s="413"/>
      <c r="Y29" s="406" t="s">
        <v>165</v>
      </c>
      <c r="Z29" s="406"/>
      <c r="AA29" s="406" t="s">
        <v>156</v>
      </c>
      <c r="AB29" s="406"/>
      <c r="AC29" s="406"/>
      <c r="AD29" s="406" t="s">
        <v>166</v>
      </c>
      <c r="AE29" s="406"/>
      <c r="AF29" s="331"/>
      <c r="AG29" s="331"/>
      <c r="AH29" s="148"/>
      <c r="AI29" s="149"/>
    </row>
    <row r="30" spans="1:49" ht="31.5">
      <c r="A30" s="417"/>
      <c r="B30" s="414"/>
      <c r="C30" s="415"/>
      <c r="D30" s="416"/>
      <c r="E30" s="407"/>
      <c r="F30" s="408"/>
      <c r="G30" s="408"/>
      <c r="H30" s="408"/>
      <c r="I30" s="408"/>
      <c r="J30" s="408"/>
      <c r="K30" s="408"/>
      <c r="L30" s="408"/>
      <c r="M30" s="408"/>
      <c r="N30" s="408"/>
      <c r="O30" s="408"/>
      <c r="P30" s="408"/>
      <c r="Q30" s="408"/>
      <c r="R30" s="408"/>
      <c r="S30" s="408"/>
      <c r="T30" s="408"/>
      <c r="U30" s="408"/>
      <c r="V30" s="409"/>
      <c r="W30" s="402"/>
      <c r="X30" s="402"/>
      <c r="Y30" s="410"/>
      <c r="Z30" s="410"/>
      <c r="AA30" s="411"/>
      <c r="AB30" s="411"/>
      <c r="AC30" s="412"/>
      <c r="AD30" s="310"/>
      <c r="AE30" s="311"/>
      <c r="AF30" s="334"/>
      <c r="AG30" s="390"/>
      <c r="AH30" s="390"/>
      <c r="AI30" s="390"/>
      <c r="AJ30" s="390"/>
      <c r="AK30" s="390"/>
      <c r="AL30" s="390"/>
      <c r="AM30" s="390"/>
      <c r="AN30" s="391"/>
      <c r="AO30" s="391"/>
    </row>
    <row r="31" spans="1:49" ht="31.5">
      <c r="A31" s="417"/>
      <c r="B31" s="414"/>
      <c r="C31" s="415"/>
      <c r="D31" s="416"/>
      <c r="E31" s="403"/>
      <c r="F31" s="404"/>
      <c r="G31" s="404"/>
      <c r="H31" s="404"/>
      <c r="I31" s="404"/>
      <c r="J31" s="404"/>
      <c r="K31" s="404"/>
      <c r="L31" s="404"/>
      <c r="M31" s="404"/>
      <c r="N31" s="404"/>
      <c r="O31" s="404"/>
      <c r="P31" s="404"/>
      <c r="Q31" s="404"/>
      <c r="R31" s="404"/>
      <c r="S31" s="404"/>
      <c r="T31" s="404"/>
      <c r="U31" s="404"/>
      <c r="V31" s="405"/>
      <c r="W31" s="396"/>
      <c r="X31" s="396"/>
      <c r="Y31" s="397"/>
      <c r="Z31" s="397"/>
      <c r="AA31" s="398"/>
      <c r="AB31" s="398"/>
      <c r="AC31" s="399"/>
      <c r="AD31" s="310"/>
      <c r="AE31" s="312"/>
      <c r="AF31" s="334"/>
      <c r="AG31" s="390"/>
      <c r="AH31" s="390"/>
      <c r="AI31" s="390"/>
      <c r="AJ31" s="390"/>
      <c r="AK31" s="390"/>
      <c r="AL31" s="390"/>
      <c r="AM31" s="390"/>
      <c r="AN31" s="391"/>
      <c r="AO31" s="391"/>
    </row>
    <row r="32" spans="1:49" ht="31.5">
      <c r="A32" s="417"/>
      <c r="B32" s="414"/>
      <c r="C32" s="415"/>
      <c r="D32" s="416"/>
      <c r="E32" s="403"/>
      <c r="F32" s="404"/>
      <c r="G32" s="404"/>
      <c r="H32" s="404"/>
      <c r="I32" s="404"/>
      <c r="J32" s="404"/>
      <c r="K32" s="404"/>
      <c r="L32" s="404"/>
      <c r="M32" s="404"/>
      <c r="N32" s="404"/>
      <c r="O32" s="404"/>
      <c r="P32" s="404"/>
      <c r="Q32" s="404"/>
      <c r="R32" s="404"/>
      <c r="S32" s="404"/>
      <c r="T32" s="404"/>
      <c r="U32" s="404"/>
      <c r="V32" s="405"/>
      <c r="W32" s="402"/>
      <c r="X32" s="402"/>
      <c r="Y32" s="397"/>
      <c r="Z32" s="397"/>
      <c r="AA32" s="400"/>
      <c r="AB32" s="400"/>
      <c r="AC32" s="401"/>
      <c r="AD32" s="310"/>
      <c r="AE32" s="313"/>
      <c r="AF32" s="334"/>
      <c r="AG32" s="390"/>
      <c r="AH32" s="390"/>
      <c r="AI32" s="390"/>
      <c r="AJ32" s="390"/>
      <c r="AK32" s="390"/>
      <c r="AL32" s="390"/>
      <c r="AM32" s="390"/>
      <c r="AN32" s="391"/>
      <c r="AO32" s="391"/>
    </row>
    <row r="33" spans="1:41" ht="31.5">
      <c r="A33" s="417"/>
      <c r="B33" s="414"/>
      <c r="C33" s="415"/>
      <c r="D33" s="416"/>
      <c r="E33" s="403"/>
      <c r="F33" s="404"/>
      <c r="G33" s="404"/>
      <c r="H33" s="404"/>
      <c r="I33" s="404"/>
      <c r="J33" s="404"/>
      <c r="K33" s="404"/>
      <c r="L33" s="404"/>
      <c r="M33" s="404"/>
      <c r="N33" s="404"/>
      <c r="O33" s="404"/>
      <c r="P33" s="404"/>
      <c r="Q33" s="404"/>
      <c r="R33" s="404"/>
      <c r="S33" s="404"/>
      <c r="T33" s="404"/>
      <c r="U33" s="404"/>
      <c r="V33" s="405"/>
      <c r="W33" s="396"/>
      <c r="X33" s="396"/>
      <c r="Y33" s="397"/>
      <c r="Z33" s="397"/>
      <c r="AA33" s="398"/>
      <c r="AB33" s="398"/>
      <c r="AC33" s="399"/>
      <c r="AD33" s="310"/>
      <c r="AE33" s="312"/>
      <c r="AF33" s="334"/>
      <c r="AG33" s="352"/>
      <c r="AH33" s="348"/>
      <c r="AI33" s="348"/>
      <c r="AJ33" s="355"/>
      <c r="AK33" s="355"/>
      <c r="AL33" s="355"/>
      <c r="AM33" s="11"/>
      <c r="AN33" s="11"/>
      <c r="AO33" s="11"/>
    </row>
    <row r="34" spans="1:41" ht="26.25">
      <c r="A34" s="417"/>
      <c r="B34" s="414"/>
      <c r="C34" s="415"/>
      <c r="D34" s="416"/>
      <c r="E34" s="393"/>
      <c r="F34" s="394"/>
      <c r="G34" s="394"/>
      <c r="H34" s="394"/>
      <c r="I34" s="394"/>
      <c r="J34" s="394"/>
      <c r="K34" s="394"/>
      <c r="L34" s="394"/>
      <c r="M34" s="394"/>
      <c r="N34" s="394"/>
      <c r="O34" s="394"/>
      <c r="P34" s="394"/>
      <c r="Q34" s="394"/>
      <c r="R34" s="394"/>
      <c r="S34" s="394"/>
      <c r="T34" s="394"/>
      <c r="U34" s="394"/>
      <c r="V34" s="395"/>
      <c r="W34" s="402"/>
      <c r="X34" s="402"/>
      <c r="Y34" s="397"/>
      <c r="Z34" s="397"/>
      <c r="AA34" s="400"/>
      <c r="AB34" s="400"/>
      <c r="AC34" s="401"/>
      <c r="AD34" s="310"/>
      <c r="AE34" s="313"/>
      <c r="AF34" s="334"/>
      <c r="AG34" s="334"/>
      <c r="AH34" s="149"/>
      <c r="AI34" s="354"/>
      <c r="AJ34" s="11"/>
      <c r="AK34" s="11"/>
      <c r="AL34" s="11"/>
      <c r="AM34" s="11"/>
      <c r="AN34" s="11"/>
      <c r="AO34" s="11"/>
    </row>
    <row r="35" spans="1:41" ht="26.25">
      <c r="A35" s="417"/>
      <c r="B35" s="414"/>
      <c r="C35" s="415"/>
      <c r="D35" s="416"/>
      <c r="E35" s="393"/>
      <c r="F35" s="394"/>
      <c r="G35" s="394"/>
      <c r="H35" s="394"/>
      <c r="I35" s="394"/>
      <c r="J35" s="394"/>
      <c r="K35" s="394"/>
      <c r="L35" s="394"/>
      <c r="M35" s="394"/>
      <c r="N35" s="394"/>
      <c r="O35" s="394"/>
      <c r="P35" s="394"/>
      <c r="Q35" s="394"/>
      <c r="R35" s="394"/>
      <c r="S35" s="394"/>
      <c r="T35" s="394"/>
      <c r="U35" s="394"/>
      <c r="V35" s="395"/>
      <c r="W35" s="396"/>
      <c r="X35" s="396"/>
      <c r="Y35" s="397"/>
      <c r="Z35" s="397"/>
      <c r="AA35" s="398"/>
      <c r="AB35" s="398"/>
      <c r="AC35" s="399"/>
      <c r="AD35" s="310"/>
      <c r="AE35" s="312"/>
      <c r="AF35" s="334"/>
      <c r="AG35" s="334"/>
      <c r="AH35" s="149"/>
      <c r="AI35" s="354"/>
      <c r="AJ35" s="11"/>
      <c r="AK35" s="11"/>
      <c r="AL35" s="11"/>
      <c r="AM35" s="11"/>
      <c r="AN35" s="11"/>
      <c r="AO35" s="11"/>
    </row>
    <row r="36" spans="1:41" ht="26.25">
      <c r="A36" s="417"/>
      <c r="B36" s="414"/>
      <c r="C36" s="415"/>
      <c r="D36" s="416"/>
      <c r="E36" s="393"/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5"/>
      <c r="W36" s="402"/>
      <c r="X36" s="402"/>
      <c r="Y36" s="397"/>
      <c r="Z36" s="397"/>
      <c r="AA36" s="400"/>
      <c r="AB36" s="400"/>
      <c r="AC36" s="401"/>
      <c r="AD36" s="310"/>
      <c r="AE36" s="313"/>
      <c r="AF36" s="334"/>
      <c r="AG36" s="334"/>
      <c r="AH36" s="149"/>
      <c r="AI36" s="150"/>
    </row>
    <row r="37" spans="1:41" ht="26.25">
      <c r="A37" s="417"/>
      <c r="B37" s="414"/>
      <c r="C37" s="415"/>
      <c r="D37" s="416"/>
      <c r="E37" s="393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394"/>
      <c r="V37" s="395"/>
      <c r="W37" s="396"/>
      <c r="X37" s="396"/>
      <c r="Y37" s="397"/>
      <c r="Z37" s="397"/>
      <c r="AA37" s="398"/>
      <c r="AB37" s="398"/>
      <c r="AC37" s="399"/>
      <c r="AD37" s="310"/>
      <c r="AE37" s="312"/>
      <c r="AF37" s="334"/>
      <c r="AG37" s="334"/>
      <c r="AH37" s="149"/>
      <c r="AI37" s="150"/>
    </row>
    <row r="38" spans="1:41" ht="26.25">
      <c r="E38" s="393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5"/>
      <c r="W38" s="402"/>
      <c r="X38" s="402"/>
      <c r="Y38" s="397"/>
      <c r="Z38" s="397"/>
      <c r="AA38" s="400"/>
      <c r="AB38" s="400"/>
      <c r="AC38" s="401"/>
      <c r="AD38" s="310"/>
      <c r="AE38" s="313"/>
      <c r="AF38" s="334"/>
      <c r="AG38" s="334"/>
      <c r="AH38" s="149"/>
      <c r="AI38" s="150"/>
    </row>
    <row r="39" spans="1:41" ht="26.25">
      <c r="E39" s="393"/>
      <c r="F39" s="394"/>
      <c r="G39" s="394"/>
      <c r="H39" s="394"/>
      <c r="I39" s="394"/>
      <c r="J39" s="394"/>
      <c r="K39" s="394"/>
      <c r="L39" s="394"/>
      <c r="M39" s="394"/>
      <c r="N39" s="394"/>
      <c r="O39" s="394"/>
      <c r="P39" s="394"/>
      <c r="Q39" s="394"/>
      <c r="R39" s="394"/>
      <c r="S39" s="394"/>
      <c r="T39" s="394"/>
      <c r="U39" s="394"/>
      <c r="V39" s="395"/>
      <c r="W39" s="396"/>
      <c r="X39" s="396"/>
      <c r="Y39" s="397"/>
      <c r="Z39" s="397"/>
      <c r="AA39" s="398"/>
      <c r="AB39" s="398"/>
      <c r="AC39" s="399"/>
      <c r="AD39" s="310"/>
      <c r="AE39" s="312"/>
      <c r="AF39" s="334"/>
      <c r="AG39" s="334"/>
      <c r="AH39" s="149"/>
      <c r="AI39" s="150"/>
    </row>
    <row r="40" spans="1:41" ht="26.25">
      <c r="E40" s="403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4"/>
      <c r="R40" s="404"/>
      <c r="S40" s="404"/>
      <c r="T40" s="404"/>
      <c r="U40" s="404"/>
      <c r="V40" s="405"/>
      <c r="W40" s="402"/>
      <c r="X40" s="402"/>
      <c r="Y40" s="397"/>
      <c r="Z40" s="397"/>
      <c r="AA40" s="400"/>
      <c r="AB40" s="400"/>
      <c r="AC40" s="401"/>
      <c r="AD40" s="310"/>
      <c r="AE40" s="313"/>
      <c r="AF40" s="334"/>
      <c r="AG40" s="334"/>
      <c r="AH40" s="11"/>
      <c r="AI40" s="11"/>
      <c r="AJ40" s="11"/>
    </row>
    <row r="41" spans="1:41" ht="27" thickBot="1">
      <c r="E41" s="403"/>
      <c r="F41" s="404"/>
      <c r="G41" s="404"/>
      <c r="H41" s="404"/>
      <c r="I41" s="404"/>
      <c r="J41" s="404"/>
      <c r="K41" s="404"/>
      <c r="L41" s="404"/>
      <c r="M41" s="404"/>
      <c r="N41" s="404"/>
      <c r="O41" s="404"/>
      <c r="P41" s="404"/>
      <c r="Q41" s="404"/>
      <c r="R41" s="404"/>
      <c r="S41" s="404"/>
      <c r="T41" s="404"/>
      <c r="U41" s="404"/>
      <c r="V41" s="405"/>
      <c r="W41" s="396"/>
      <c r="X41" s="396"/>
      <c r="Y41" s="397"/>
      <c r="Z41" s="397"/>
      <c r="AA41" s="398"/>
      <c r="AB41" s="398"/>
      <c r="AC41" s="399"/>
      <c r="AD41" s="310"/>
      <c r="AE41" s="312"/>
      <c r="AF41" s="334"/>
      <c r="AG41" s="334"/>
      <c r="AH41" s="11"/>
      <c r="AI41" s="11"/>
      <c r="AJ41" s="11"/>
    </row>
    <row r="42" spans="1:41" ht="36.75" thickBot="1">
      <c r="D42" s="151"/>
      <c r="E42" s="314"/>
      <c r="F42" s="315"/>
      <c r="G42" s="315"/>
      <c r="H42" s="315"/>
      <c r="I42" s="316"/>
      <c r="J42" s="316"/>
      <c r="K42" s="316"/>
      <c r="L42" s="315"/>
      <c r="M42" s="315"/>
      <c r="N42" s="315"/>
      <c r="O42" s="315"/>
      <c r="P42" s="315"/>
      <c r="Q42" s="434"/>
      <c r="R42" s="434"/>
      <c r="S42" s="434"/>
      <c r="T42" s="435" t="s">
        <v>167</v>
      </c>
      <c r="U42" s="436"/>
      <c r="V42" s="437"/>
      <c r="W42" s="438">
        <f>SUM(W30:X41)</f>
        <v>0</v>
      </c>
      <c r="X42" s="437"/>
      <c r="Y42" s="315"/>
      <c r="Z42" s="315"/>
      <c r="AA42" s="314"/>
      <c r="AB42" s="314"/>
      <c r="AC42" s="314"/>
      <c r="AD42" s="314"/>
      <c r="AE42" s="314"/>
      <c r="AF42" s="314"/>
      <c r="AG42" s="314"/>
      <c r="AH42" s="11"/>
      <c r="AI42" s="11"/>
      <c r="AJ42" s="11"/>
    </row>
    <row r="43" spans="1:41" ht="22.5">
      <c r="C43" s="154"/>
      <c r="D43" s="154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4"/>
    </row>
    <row r="44" spans="1:41" ht="22.5">
      <c r="C44" s="154"/>
      <c r="D44" s="154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4"/>
    </row>
    <row r="45" spans="1:41" ht="22.5">
      <c r="C45" s="154"/>
      <c r="D45" s="154" t="s">
        <v>168</v>
      </c>
      <c r="E45" s="154"/>
      <c r="F45" s="154"/>
      <c r="G45" s="154"/>
      <c r="H45" s="154" t="s">
        <v>169</v>
      </c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</row>
    <row r="46" spans="1:41" ht="22.5"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6" t="s">
        <v>170</v>
      </c>
      <c r="T46" s="156"/>
      <c r="U46" s="154"/>
      <c r="V46" s="154"/>
      <c r="W46" s="154"/>
      <c r="X46" s="154"/>
      <c r="Y46" s="154"/>
      <c r="Z46" s="154"/>
    </row>
  </sheetData>
  <mergeCells count="80">
    <mergeCell ref="E41:V41"/>
    <mergeCell ref="W41:X41"/>
    <mergeCell ref="Y41:Z41"/>
    <mergeCell ref="AA41:AC41"/>
    <mergeCell ref="Q42:S42"/>
    <mergeCell ref="T42:V42"/>
    <mergeCell ref="W42:X42"/>
    <mergeCell ref="AU5:AU6"/>
    <mergeCell ref="AS5:AT5"/>
    <mergeCell ref="AV5:AW5"/>
    <mergeCell ref="B3:C8"/>
    <mergeCell ref="F4:AL4"/>
    <mergeCell ref="W5:X5"/>
    <mergeCell ref="Y5:Z5"/>
    <mergeCell ref="AA5:AC5"/>
    <mergeCell ref="AD5:AE5"/>
    <mergeCell ref="AH5:AJ5"/>
    <mergeCell ref="AK5:AO5"/>
    <mergeCell ref="S5:T5"/>
    <mergeCell ref="AF5:AG5"/>
    <mergeCell ref="B9:B37"/>
    <mergeCell ref="C17:C37"/>
    <mergeCell ref="D17:D37"/>
    <mergeCell ref="A26:A37"/>
    <mergeCell ref="E29:V29"/>
    <mergeCell ref="E31:V31"/>
    <mergeCell ref="E33:V33"/>
    <mergeCell ref="E35:V35"/>
    <mergeCell ref="E37:V37"/>
    <mergeCell ref="E34:V34"/>
    <mergeCell ref="Y29:Z29"/>
    <mergeCell ref="AA29:AC29"/>
    <mergeCell ref="AD29:AE29"/>
    <mergeCell ref="E30:V30"/>
    <mergeCell ref="W30:X30"/>
    <mergeCell ref="Y30:Z30"/>
    <mergeCell ref="AA30:AC30"/>
    <mergeCell ref="W29:X29"/>
    <mergeCell ref="Y31:Z31"/>
    <mergeCell ref="AA31:AC31"/>
    <mergeCell ref="E32:V32"/>
    <mergeCell ref="W32:X32"/>
    <mergeCell ref="Y32:Z32"/>
    <mergeCell ref="AA32:AC32"/>
    <mergeCell ref="W31:X31"/>
    <mergeCell ref="W34:X34"/>
    <mergeCell ref="Y34:Z34"/>
    <mergeCell ref="AA34:AC34"/>
    <mergeCell ref="W33:X33"/>
    <mergeCell ref="W40:X40"/>
    <mergeCell ref="W37:X37"/>
    <mergeCell ref="Y37:Z37"/>
    <mergeCell ref="AA40:AC40"/>
    <mergeCell ref="E38:V38"/>
    <mergeCell ref="W38:X38"/>
    <mergeCell ref="Y38:Z38"/>
    <mergeCell ref="E40:V40"/>
    <mergeCell ref="Y40:Z40"/>
    <mergeCell ref="Z2:AC2"/>
    <mergeCell ref="E39:V39"/>
    <mergeCell ref="W39:X39"/>
    <mergeCell ref="Y39:Z39"/>
    <mergeCell ref="AA39:AC39"/>
    <mergeCell ref="AA37:AC37"/>
    <mergeCell ref="AA38:AC38"/>
    <mergeCell ref="W35:X35"/>
    <mergeCell ref="Y35:Z35"/>
    <mergeCell ref="AA35:AC35"/>
    <mergeCell ref="E36:V36"/>
    <mergeCell ref="W36:X36"/>
    <mergeCell ref="Y36:Z36"/>
    <mergeCell ref="AA36:AC36"/>
    <mergeCell ref="Y33:Z33"/>
    <mergeCell ref="AA33:AC33"/>
    <mergeCell ref="AG30:AM30"/>
    <mergeCell ref="AG31:AM31"/>
    <mergeCell ref="AG32:AM32"/>
    <mergeCell ref="AN30:AO30"/>
    <mergeCell ref="AN31:AO31"/>
    <mergeCell ref="AN32:AO32"/>
  </mergeCells>
  <printOptions horizontalCentered="1" verticalCentered="1"/>
  <pageMargins left="0" right="0" top="0" bottom="0" header="0" footer="0"/>
  <pageSetup paperSize="9" scale="3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A46"/>
  <sheetViews>
    <sheetView topLeftCell="L1" zoomScale="64" zoomScaleNormal="64" workbookViewId="0">
      <selection activeCell="AL40" sqref="Y32:AL40"/>
    </sheetView>
  </sheetViews>
  <sheetFormatPr defaultRowHeight="15"/>
  <cols>
    <col min="5" max="5" width="3.42578125" customWidth="1"/>
    <col min="7" max="7" width="36.140625" customWidth="1"/>
    <col min="8" max="10" width="9.140625" hidden="1" customWidth="1"/>
    <col min="11" max="11" width="28" customWidth="1"/>
    <col min="12" max="12" width="27.85546875" customWidth="1"/>
    <col min="13" max="14" width="0" hidden="1" customWidth="1"/>
    <col min="15" max="15" width="22.28515625" customWidth="1"/>
    <col min="16" max="16" width="21" customWidth="1"/>
    <col min="17" max="18" width="12.85546875" customWidth="1"/>
    <col min="20" max="20" width="8.5703125" customWidth="1"/>
    <col min="21" max="22" width="11.5703125" customWidth="1"/>
    <col min="24" max="24" width="0" hidden="1" customWidth="1"/>
    <col min="25" max="25" width="11.28515625" customWidth="1"/>
    <col min="27" max="27" width="11.85546875" customWidth="1"/>
    <col min="29" max="29" width="9.140625" hidden="1" customWidth="1"/>
    <col min="30" max="30" width="20.5703125" customWidth="1"/>
    <col min="31" max="31" width="11.28515625" hidden="1" customWidth="1"/>
    <col min="35" max="35" width="11.85546875" customWidth="1"/>
    <col min="37" max="37" width="17.42578125" customWidth="1"/>
    <col min="38" max="38" width="11.85546875" customWidth="1"/>
    <col min="41" max="41" width="13.140625" customWidth="1"/>
    <col min="47" max="87" width="0" hidden="1" customWidth="1"/>
  </cols>
  <sheetData>
    <row r="1" spans="2:79">
      <c r="E1" t="s">
        <v>49</v>
      </c>
    </row>
    <row r="2" spans="2:79" ht="46.5">
      <c r="E2" s="34" t="s">
        <v>181</v>
      </c>
      <c r="F2" s="114"/>
      <c r="G2" s="115"/>
      <c r="H2" s="115"/>
      <c r="I2" s="115"/>
      <c r="J2" s="115"/>
      <c r="K2" s="116"/>
      <c r="T2" s="20"/>
      <c r="AD2" s="212">
        <f>B3</f>
        <v>2222</v>
      </c>
      <c r="AE2" s="116"/>
      <c r="AF2" s="116"/>
      <c r="AG2" s="116"/>
    </row>
    <row r="3" spans="2:79" ht="26.25">
      <c r="B3" s="424">
        <f>'Исходные данные'!H13</f>
        <v>2222</v>
      </c>
      <c r="C3" s="424"/>
      <c r="F3" s="117"/>
      <c r="G3" s="117"/>
      <c r="H3" s="117"/>
      <c r="I3" s="117"/>
      <c r="J3" s="117"/>
      <c r="K3" s="116"/>
    </row>
    <row r="4" spans="2:79" ht="27.75" customHeight="1" thickBot="1">
      <c r="B4" s="424"/>
      <c r="C4" s="424"/>
      <c r="F4" s="425" t="s">
        <v>180</v>
      </c>
      <c r="G4" s="426"/>
      <c r="H4" s="426"/>
      <c r="I4" s="426"/>
      <c r="J4" s="426"/>
      <c r="K4" s="426"/>
      <c r="L4" s="426"/>
      <c r="M4" s="426"/>
      <c r="N4" s="426"/>
      <c r="O4" s="426"/>
      <c r="P4" s="426"/>
      <c r="Q4" s="426"/>
      <c r="R4" s="426"/>
      <c r="S4" s="426"/>
      <c r="T4" s="426"/>
      <c r="U4" s="426"/>
      <c r="V4" s="426"/>
      <c r="W4" s="426"/>
      <c r="X4" s="426"/>
      <c r="Y4" s="426"/>
      <c r="Z4" s="426"/>
      <c r="AA4" s="426"/>
      <c r="AB4" s="426"/>
      <c r="AC4" s="426"/>
      <c r="AD4" s="426"/>
      <c r="AE4" s="426"/>
      <c r="AF4" s="426"/>
      <c r="AG4" s="426"/>
      <c r="AH4" s="426"/>
      <c r="AI4" s="426"/>
      <c r="AJ4" s="426"/>
      <c r="AK4" s="426"/>
      <c r="AL4" s="426"/>
      <c r="AM4" s="426"/>
      <c r="AN4" s="426"/>
      <c r="AO4" s="426"/>
      <c r="BF4">
        <v>2.4E-2</v>
      </c>
    </row>
    <row r="5" spans="2:79" ht="66" customHeight="1" thickBot="1">
      <c r="B5" s="424"/>
      <c r="C5" s="424"/>
      <c r="D5" s="118"/>
      <c r="E5" s="119" t="s">
        <v>151</v>
      </c>
      <c r="F5" s="120" t="s">
        <v>152</v>
      </c>
      <c r="G5" s="121" t="s">
        <v>153</v>
      </c>
      <c r="H5" s="159" t="s">
        <v>154</v>
      </c>
      <c r="I5" s="198"/>
      <c r="J5" s="198"/>
      <c r="K5" s="272" t="s">
        <v>171</v>
      </c>
      <c r="L5" s="273" t="s">
        <v>172</v>
      </c>
      <c r="M5" s="122"/>
      <c r="N5" s="122" t="s">
        <v>155</v>
      </c>
      <c r="O5" s="202" t="s">
        <v>196</v>
      </c>
      <c r="P5" s="202" t="s">
        <v>230</v>
      </c>
      <c r="Q5" s="202" t="s">
        <v>231</v>
      </c>
      <c r="R5" s="202" t="s">
        <v>232</v>
      </c>
      <c r="S5" s="122" t="s">
        <v>156</v>
      </c>
      <c r="T5" s="162" t="s">
        <v>157</v>
      </c>
      <c r="U5" s="458" t="s">
        <v>174</v>
      </c>
      <c r="V5" s="459"/>
      <c r="W5" s="162" t="s">
        <v>195</v>
      </c>
      <c r="X5" s="169" t="s">
        <v>156</v>
      </c>
      <c r="Y5" s="455" t="s">
        <v>261</v>
      </c>
      <c r="Z5" s="456"/>
      <c r="AA5" s="457" t="s">
        <v>260</v>
      </c>
      <c r="AB5" s="457"/>
      <c r="AC5" s="196"/>
      <c r="AD5" s="455" t="s">
        <v>259</v>
      </c>
      <c r="AE5" s="445"/>
      <c r="AF5" s="456"/>
      <c r="AG5" s="445" t="s">
        <v>258</v>
      </c>
      <c r="AH5" s="445"/>
      <c r="AI5" s="432" t="s">
        <v>270</v>
      </c>
      <c r="AJ5" s="433"/>
      <c r="AK5" s="448" t="s">
        <v>175</v>
      </c>
      <c r="AL5" s="449"/>
      <c r="AM5" s="450"/>
      <c r="AN5" s="451" t="s">
        <v>25</v>
      </c>
      <c r="AO5" s="452"/>
      <c r="AP5" s="452"/>
      <c r="AQ5" s="452"/>
      <c r="AR5" s="453"/>
      <c r="AU5" s="161" t="s">
        <v>171</v>
      </c>
      <c r="AV5" s="188"/>
      <c r="AW5" s="157" t="s">
        <v>172</v>
      </c>
      <c r="AX5" s="122"/>
      <c r="AY5" s="122" t="s">
        <v>155</v>
      </c>
      <c r="AZ5" s="122" t="s">
        <v>156</v>
      </c>
      <c r="BA5" s="162" t="s">
        <v>157</v>
      </c>
      <c r="BB5" s="166" t="s">
        <v>174</v>
      </c>
      <c r="BC5" s="162" t="s">
        <v>157</v>
      </c>
      <c r="BD5" s="169" t="s">
        <v>156</v>
      </c>
      <c r="BE5" s="455" t="s">
        <v>142</v>
      </c>
      <c r="BF5" s="456"/>
      <c r="BG5" s="457" t="s">
        <v>141</v>
      </c>
      <c r="BH5" s="457"/>
      <c r="BI5" s="455" t="s">
        <v>137</v>
      </c>
      <c r="BJ5" s="445"/>
      <c r="BK5" s="456"/>
      <c r="BL5" s="445" t="s">
        <v>139</v>
      </c>
      <c r="BM5" s="445"/>
      <c r="BN5" s="448" t="s">
        <v>175</v>
      </c>
      <c r="BO5" s="449"/>
      <c r="BP5" s="450"/>
      <c r="BQ5" s="274"/>
      <c r="BR5" s="451" t="s">
        <v>25</v>
      </c>
      <c r="BS5" s="452"/>
      <c r="BT5" s="452"/>
      <c r="BU5" s="452"/>
      <c r="BV5" s="452"/>
      <c r="BW5" s="454" t="s">
        <v>236</v>
      </c>
      <c r="BX5" s="454"/>
      <c r="BY5" s="454" t="s">
        <v>237</v>
      </c>
      <c r="BZ5" s="454"/>
      <c r="CA5" s="439" t="s">
        <v>271</v>
      </c>
    </row>
    <row r="6" spans="2:79" ht="40.5" customHeight="1" thickBot="1">
      <c r="B6" s="424"/>
      <c r="C6" s="424"/>
      <c r="D6" s="118"/>
      <c r="E6" s="123"/>
      <c r="F6" s="124"/>
      <c r="G6" s="125"/>
      <c r="H6" s="160"/>
      <c r="I6" s="199"/>
      <c r="J6" s="199"/>
      <c r="K6" s="163" t="s">
        <v>158</v>
      </c>
      <c r="L6" s="126" t="s">
        <v>159</v>
      </c>
      <c r="M6" s="126"/>
      <c r="N6" s="126"/>
      <c r="O6" s="126" t="s">
        <v>233</v>
      </c>
      <c r="P6" s="126" t="s">
        <v>233</v>
      </c>
      <c r="Q6" s="126" t="s">
        <v>197</v>
      </c>
      <c r="R6" s="126" t="s">
        <v>197</v>
      </c>
      <c r="S6" s="126"/>
      <c r="T6" s="164" t="s">
        <v>173</v>
      </c>
      <c r="U6" s="167" t="s">
        <v>158</v>
      </c>
      <c r="V6" s="281" t="s">
        <v>159</v>
      </c>
      <c r="W6" s="164" t="s">
        <v>173</v>
      </c>
      <c r="X6" s="168"/>
      <c r="Y6" s="172" t="s">
        <v>23</v>
      </c>
      <c r="Z6" s="172" t="s">
        <v>173</v>
      </c>
      <c r="AA6" s="172" t="s">
        <v>23</v>
      </c>
      <c r="AB6" s="173" t="s">
        <v>173</v>
      </c>
      <c r="AC6" s="173"/>
      <c r="AD6" s="172" t="s">
        <v>23</v>
      </c>
      <c r="AE6" s="172" t="s">
        <v>178</v>
      </c>
      <c r="AF6" s="172" t="s">
        <v>173</v>
      </c>
      <c r="AG6" s="177" t="s">
        <v>23</v>
      </c>
      <c r="AH6" s="173" t="s">
        <v>173</v>
      </c>
      <c r="AI6" s="173" t="s">
        <v>159</v>
      </c>
      <c r="AJ6" s="172" t="s">
        <v>173</v>
      </c>
      <c r="AK6" s="172" t="s">
        <v>176</v>
      </c>
      <c r="AL6" s="172" t="s">
        <v>177</v>
      </c>
      <c r="AM6" s="173" t="s">
        <v>1</v>
      </c>
      <c r="AN6" s="182" t="s">
        <v>179</v>
      </c>
      <c r="AO6" s="158" t="s">
        <v>62</v>
      </c>
      <c r="AP6" s="178" t="s">
        <v>82</v>
      </c>
      <c r="AQ6" s="178" t="str">
        <f>МРП!D16</f>
        <v>Стенка верт</v>
      </c>
      <c r="AR6" s="179" t="str">
        <f>МРП!E16</f>
        <v>Кол-во рубов м.р. верт-ой</v>
      </c>
      <c r="AU6" s="163" t="s">
        <v>158</v>
      </c>
      <c r="AV6" s="165" t="s">
        <v>185</v>
      </c>
      <c r="AW6" s="126" t="s">
        <v>159</v>
      </c>
      <c r="AX6" s="126"/>
      <c r="AY6" s="126"/>
      <c r="AZ6" s="126"/>
      <c r="BA6" s="164" t="s">
        <v>173</v>
      </c>
      <c r="BB6" s="165" t="s">
        <v>185</v>
      </c>
      <c r="BC6" s="164" t="s">
        <v>173</v>
      </c>
      <c r="BD6" s="168"/>
      <c r="BE6" s="172" t="s">
        <v>135</v>
      </c>
      <c r="BF6" s="165" t="s">
        <v>185</v>
      </c>
      <c r="BG6" s="172" t="s">
        <v>136</v>
      </c>
      <c r="BH6" s="173" t="s">
        <v>173</v>
      </c>
      <c r="BI6" s="172" t="s">
        <v>138</v>
      </c>
      <c r="BJ6" s="172" t="s">
        <v>178</v>
      </c>
      <c r="BK6" s="165" t="s">
        <v>185</v>
      </c>
      <c r="BL6" s="177" t="s">
        <v>140</v>
      </c>
      <c r="BM6" s="165" t="s">
        <v>185</v>
      </c>
      <c r="BN6" s="172" t="s">
        <v>193</v>
      </c>
      <c r="BO6" s="172" t="s">
        <v>194</v>
      </c>
      <c r="BP6" s="165" t="s">
        <v>185</v>
      </c>
      <c r="BQ6" s="165" t="s">
        <v>238</v>
      </c>
      <c r="BR6" s="165" t="s">
        <v>185</v>
      </c>
      <c r="BS6" s="158" t="s">
        <v>62</v>
      </c>
      <c r="BT6" s="178" t="s">
        <v>82</v>
      </c>
      <c r="BU6" s="178">
        <f>МРП!AF16</f>
        <v>0</v>
      </c>
      <c r="BV6" s="275">
        <f>МРП!AG16</f>
        <v>0</v>
      </c>
      <c r="BW6" s="276" t="s">
        <v>235</v>
      </c>
      <c r="BX6" s="276"/>
      <c r="BY6" s="276" t="s">
        <v>235</v>
      </c>
      <c r="BZ6" s="276"/>
      <c r="CA6" s="440"/>
    </row>
    <row r="7" spans="2:79" ht="41.25" customHeight="1" thickBot="1">
      <c r="B7" s="424"/>
      <c r="C7" s="424"/>
      <c r="E7" s="127">
        <v>1</v>
      </c>
      <c r="F7" s="308">
        <f>'Исходные данные'!B17</f>
        <v>0</v>
      </c>
      <c r="G7" s="308" t="str">
        <f>CONCATENATE('Исходные данные'!C17,'Исходные данные'!D17,'Исходные данные'!E17,'Исходные данные'!F17,"  ",'Исходные данные'!G17,"x",'Исходные данные'!H17,'Исходные данные'!I17,'Исходные данные'!J17,'Исходные данные'!K17, "-",'Исходные данные'!L17,'Исходные данные'!M17,'Исходные данные'!N17,'Исходные данные'!O17,'Исходные данные'!P17,'Исходные данные'!Q17,'Исходные данные'!R17)</f>
        <v xml:space="preserve">  x-</v>
      </c>
      <c r="H7" s="176"/>
      <c r="I7" s="200" t="str">
        <f>IF('Исходные данные'!J17=1,"ВГ 199.01.00.001",IF('Исходные данные'!J17=2,"ВГ 199.01.00.008","---"))</f>
        <v>---</v>
      </c>
      <c r="J7" s="200" t="str">
        <f>IF('Исходные данные'!J17=1,"ВГ 199.01.00.002",IF('Исходные данные'!J17=2,"ВГ 199.01.00.007","---"))</f>
        <v>---</v>
      </c>
      <c r="K7" s="175" t="str">
        <f>CONCATENATE(I7,"----",'Исходные данные'!G17)</f>
        <v>-------</v>
      </c>
      <c r="L7" s="131" t="str">
        <f>CONCATENATE(J7,"----",'Исходные данные'!H17)</f>
        <v>-------</v>
      </c>
      <c r="M7" s="131"/>
      <c r="N7" s="336"/>
      <c r="O7" s="337">
        <f>'Задание на ТРУМПФ'!M7</f>
        <v>0</v>
      </c>
      <c r="P7" s="338">
        <f>'Задание на ТРУМПФ'!N7</f>
        <v>0</v>
      </c>
      <c r="Q7" s="338">
        <f>'Задание на ТРУМПФ'!O7</f>
        <v>0</v>
      </c>
      <c r="R7" s="338">
        <f>'Задание на ТРУМПФ'!P7</f>
        <v>0</v>
      </c>
      <c r="S7" s="338" t="str">
        <f>IF(K7&gt;0,"ОЦ","---")</f>
        <v>ОЦ</v>
      </c>
      <c r="T7" s="338">
        <f>'Исходные данные'!S17</f>
        <v>0</v>
      </c>
      <c r="U7" s="338">
        <f>'Задание на ТРУМПФ'!S7</f>
        <v>22</v>
      </c>
      <c r="V7" s="338">
        <f>'Задание на ТРУМПФ'!T7</f>
        <v>22</v>
      </c>
      <c r="W7" s="338">
        <f>T7</f>
        <v>0</v>
      </c>
      <c r="X7" s="338" t="str">
        <f>S7</f>
        <v>ОЦ</v>
      </c>
      <c r="Y7" s="338">
        <f>'Задание на ТРУМПФ'!W7</f>
        <v>-3</v>
      </c>
      <c r="Z7" s="338">
        <f>W7</f>
        <v>0</v>
      </c>
      <c r="AA7" s="338">
        <f>'Задание на ТРУМПФ'!Y7</f>
        <v>-3</v>
      </c>
      <c r="AB7" s="338">
        <f>Z7</f>
        <v>0</v>
      </c>
      <c r="AC7" s="338">
        <f>IF('Исходные данные'!H17&lt;399,30,IF('Исходные данные'!H17&lt;401,95,IF('Исходные данные'!H17&gt;=450,135,0)))</f>
        <v>30</v>
      </c>
      <c r="AD7" s="338">
        <f>'Задание на ТРУМПФ'!AA7</f>
        <v>0</v>
      </c>
      <c r="AE7" s="338">
        <f>IF('Задание на гибку'!H17&lt;400,30,IF('Задание на гибку'!H17&lt;450,95,IF('Задание на гибку'!H17&lt;=1200,135,0)))</f>
        <v>30</v>
      </c>
      <c r="AF7" s="338">
        <f>AB7*2</f>
        <v>0</v>
      </c>
      <c r="AG7" s="339">
        <f>'Задание на ТРУМПФ'!AD7</f>
        <v>0</v>
      </c>
      <c r="AH7" s="339">
        <f>AF7</f>
        <v>0</v>
      </c>
      <c r="AI7" s="339">
        <f>IF('Задание на ТРУМПФ'!AF7&gt;0,'Задание на ТРУМПФ'!J7-1.5,0)</f>
        <v>0</v>
      </c>
      <c r="AJ7" s="339">
        <f>'Задание на ТРУМПФ'!AG7</f>
        <v>0</v>
      </c>
      <c r="AK7" s="339" t="str">
        <f>Сетка!B17</f>
        <v>---</v>
      </c>
      <c r="AL7" s="339" t="str">
        <f>IF(AK7="решетка жалюзийная",U7,IF(AK7="сетка",U7,"0х0"))</f>
        <v>0х0</v>
      </c>
      <c r="AM7" s="339">
        <f>T7</f>
        <v>0</v>
      </c>
      <c r="AN7" s="339">
        <f>МРП!F17</f>
        <v>0</v>
      </c>
      <c r="AO7" s="339">
        <f>МРП!B17</f>
        <v>0</v>
      </c>
      <c r="AP7" s="339">
        <f>МРП!C17*2</f>
        <v>0</v>
      </c>
      <c r="AQ7" s="339">
        <f>МРП!D17</f>
        <v>0</v>
      </c>
      <c r="AR7" s="309">
        <f>МРП!E17*2</f>
        <v>0</v>
      </c>
      <c r="AV7" s="292">
        <f>IF('Исходные данные'!J17=1,нормы!$F$5*'Задание на гибку'!T7*2,IF('Исходные данные'!J17=2,нормы!$G$5*'Задание на гибку'!T7*2,0))</f>
        <v>0</v>
      </c>
      <c r="AW7" s="292">
        <f>IF('Исходные данные'!J17=1,нормы!$D$5*'Задание на гибку'!T7*2,IF('Исходные данные'!J17=2,нормы!$E$5*'Задание на гибку'!T7*2,0))</f>
        <v>0</v>
      </c>
      <c r="BB7">
        <f>IF(K7&gt;0,нормы!$E$5*'Задание на гибку'!W7,0)</f>
        <v>0</v>
      </c>
      <c r="BF7">
        <f>IF(K7&gt;0,нормы!$C$4*'Задание на гибку'!Z7,0)</f>
        <v>0</v>
      </c>
      <c r="BG7">
        <f>IF(K7&gt;0,нормы!$B$4*'Задание на гибку'!Z7,0)</f>
        <v>0</v>
      </c>
      <c r="BK7">
        <f>IF(K7&gt;0,нормы!$C$4*'Задание на гибку'!Z7*2,0)</f>
        <v>0</v>
      </c>
      <c r="BM7">
        <f>IF(K7&gt;0,нормы!$B$4*'Задание на гибку'!Z7*2,0)</f>
        <v>0</v>
      </c>
      <c r="BN7" s="277">
        <f>IF(AK7="решетка жалюзийная",4+('Исходные данные'!H17/52),0)</f>
        <v>0</v>
      </c>
      <c r="BO7">
        <f>IF(AK7="решетка жалюзийная",IF('Исходные данные'!H17&lt;=1000,('Исходные данные'!H17/50),IF('Исходные данные'!H17&gt;1000,('Исходные данные'!H17/50)*2,0)),0)</f>
        <v>0</v>
      </c>
      <c r="BP7">
        <f>IF(AK7="решетка жалюзийная",нормы!$E$5+'Задание на гибку'!BO7*нормы!$B$5,0)</f>
        <v>0</v>
      </c>
      <c r="BQ7">
        <f>BP7*AM7</f>
        <v>0</v>
      </c>
      <c r="BR7">
        <f>IF(AN7="МРП",нормы!$C$5*'Задание на гибку'!AP7*4,IF(AN7="МРЗ",нормы!$C$5*'Задание на гибку'!AP7*2,0))</f>
        <v>0</v>
      </c>
      <c r="BW7">
        <f>IF(Q7&gt;0,0.024*T7,0)</f>
        <v>0</v>
      </c>
      <c r="BX7">
        <f>IF(R7&gt;0,0.012*T7,0)</f>
        <v>0</v>
      </c>
      <c r="BY7">
        <f>IF(O7&gt;0,0.024*T7,0)</f>
        <v>0</v>
      </c>
      <c r="BZ7" t="b">
        <f>IF(P7&gt;0,0.012*T7)</f>
        <v>0</v>
      </c>
      <c r="CA7">
        <f>AJ7*нормы!$E$5</f>
        <v>0</v>
      </c>
    </row>
    <row r="8" spans="2:79" ht="45.75" customHeight="1" thickBot="1">
      <c r="B8" s="424"/>
      <c r="C8" s="424"/>
      <c r="E8" s="127">
        <f>E7+1</f>
        <v>2</v>
      </c>
      <c r="F8" s="308">
        <f>'Исходные данные'!B18</f>
        <v>0</v>
      </c>
      <c r="G8" s="308" t="str">
        <f>CONCATENATE('Исходные данные'!C18,'Исходные данные'!D18,'Исходные данные'!E18,'Исходные данные'!F18,"  ",'Исходные данные'!G18,"x",'Исходные данные'!H18,'Исходные данные'!I18,'Исходные данные'!J18,'Исходные данные'!K18, "-",'Исходные данные'!L18,'Исходные данные'!M18,'Исходные данные'!N18,'Исходные данные'!O18,'Исходные данные'!P18,'Исходные данные'!Q18,'Исходные данные'!R18)</f>
        <v xml:space="preserve">  x-</v>
      </c>
      <c r="H8" s="176"/>
      <c r="I8" s="200" t="str">
        <f>IF('Исходные данные'!J18=1,"ВГ 199.01.00.001",IF('Исходные данные'!J18=2,"ВГ 199.01.00.008","---"))</f>
        <v>---</v>
      </c>
      <c r="J8" s="200" t="str">
        <f>IF('Исходные данные'!J18=1,"ВГ 199.01.00.002",IF('Исходные данные'!J18=2,"ВГ 199.01.00.007","---"))</f>
        <v>---</v>
      </c>
      <c r="K8" s="175" t="str">
        <f>CONCATENATE(I8,"----",'Исходные данные'!G18)</f>
        <v>-------</v>
      </c>
      <c r="L8" s="131" t="str">
        <f>CONCATENATE(J8,"----",'Исходные данные'!H18)</f>
        <v>-------</v>
      </c>
      <c r="M8" s="131"/>
      <c r="N8" s="336"/>
      <c r="O8" s="337">
        <f>'Задание на ТРУМПФ'!M8</f>
        <v>0</v>
      </c>
      <c r="P8" s="338">
        <f>'Задание на ТРУМПФ'!N8</f>
        <v>0</v>
      </c>
      <c r="Q8" s="338">
        <f>'Задание на ТРУМПФ'!O8</f>
        <v>0</v>
      </c>
      <c r="R8" s="338">
        <f>'Задание на ТРУМПФ'!P8</f>
        <v>0</v>
      </c>
      <c r="S8" s="338" t="str">
        <f t="shared" ref="S8:S21" si="0">IF(K8&gt;0,"ОЦ","---")</f>
        <v>ОЦ</v>
      </c>
      <c r="T8" s="338">
        <f>'Исходные данные'!S18</f>
        <v>0</v>
      </c>
      <c r="U8" s="338">
        <f>'Задание на ТРУМПФ'!S8</f>
        <v>22</v>
      </c>
      <c r="V8" s="338">
        <f>'Задание на ТРУМПФ'!T8</f>
        <v>22</v>
      </c>
      <c r="W8" s="338">
        <f t="shared" ref="W8:W21" si="1">T8</f>
        <v>0</v>
      </c>
      <c r="X8" s="338" t="str">
        <f t="shared" ref="X8:X21" si="2">S8</f>
        <v>ОЦ</v>
      </c>
      <c r="Y8" s="338">
        <f>'Задание на ТРУМПФ'!W8</f>
        <v>-3</v>
      </c>
      <c r="Z8" s="338">
        <f t="shared" ref="Z8:Z21" si="3">W8</f>
        <v>0</v>
      </c>
      <c r="AA8" s="338">
        <f>'Задание на ТРУМПФ'!Y8</f>
        <v>-3</v>
      </c>
      <c r="AB8" s="338">
        <f t="shared" ref="AB8:AB21" si="4">Z8</f>
        <v>0</v>
      </c>
      <c r="AC8" s="338">
        <f>IF('Исходные данные'!H18&lt;399,30,IF('Исходные данные'!H18&lt;401,95,IF('Исходные данные'!H18&gt;=450,135,0)))</f>
        <v>30</v>
      </c>
      <c r="AD8" s="338">
        <f>'Задание на ТРУМПФ'!AA8</f>
        <v>0</v>
      </c>
      <c r="AE8" s="338">
        <f>IF('Задание на гибку'!H18&lt;400,30,IF('Задание на гибку'!H18&lt;450,95,IF('Задание на гибку'!H18&lt;=1200,135,0)))</f>
        <v>30</v>
      </c>
      <c r="AF8" s="338">
        <f t="shared" ref="AF8:AF21" si="5">AB8*2</f>
        <v>0</v>
      </c>
      <c r="AG8" s="339">
        <f>'Задание на ТРУМПФ'!AD8</f>
        <v>0</v>
      </c>
      <c r="AH8" s="339">
        <f t="shared" ref="AH8:AH21" si="6">AF8</f>
        <v>0</v>
      </c>
      <c r="AI8" s="339">
        <f>IF('Задание на ТРУМПФ'!AF8&gt;0,'Задание на ТРУМПФ'!J8-1.5,0)</f>
        <v>0</v>
      </c>
      <c r="AJ8" s="339">
        <f>'Задание на ТРУМПФ'!AG8</f>
        <v>0</v>
      </c>
      <c r="AK8" s="339" t="str">
        <f>Сетка!B18</f>
        <v>---</v>
      </c>
      <c r="AL8" s="339" t="str">
        <f t="shared" ref="AL8:AL21" si="7">IF(AK8="решетка жалюзийная",U8,IF(AK8="сетка",U8,"0х0"))</f>
        <v>0х0</v>
      </c>
      <c r="AM8" s="339">
        <f t="shared" ref="AM8:AM21" si="8">T8</f>
        <v>0</v>
      </c>
      <c r="AN8" s="339">
        <f>МРП!F18</f>
        <v>0</v>
      </c>
      <c r="AO8" s="339">
        <f>МРП!B18</f>
        <v>0</v>
      </c>
      <c r="AP8" s="339">
        <f>МРП!C18*2</f>
        <v>0</v>
      </c>
      <c r="AQ8" s="339">
        <f>МРП!D18</f>
        <v>0</v>
      </c>
      <c r="AR8" s="309">
        <f>МРП!E18*2</f>
        <v>0</v>
      </c>
      <c r="AV8" s="292">
        <f>IF('Исходные данные'!J18=1,нормы!$F$5*'Задание на гибку'!T8*2,IF('Исходные данные'!J18=2,нормы!$G$5*'Задание на гибку'!T8*2,0))</f>
        <v>0</v>
      </c>
      <c r="AW8" s="292">
        <f>IF('Исходные данные'!J18=1,нормы!$D$5*'Задание на гибку'!T8*2,IF('Исходные данные'!J18=2,нормы!$E$5*'Задание на гибку'!T8*2,0))</f>
        <v>0</v>
      </c>
      <c r="BB8">
        <f>IF(K8&gt;0,нормы!$E$5*'Задание на гибку'!W8,0)</f>
        <v>0</v>
      </c>
      <c r="BF8">
        <f>IF(K8&gt;0,нормы!$C$4*'Задание на гибку'!Z8,0)</f>
        <v>0</v>
      </c>
      <c r="BG8">
        <f>IF(K8&gt;0,нормы!$B$4*'Задание на гибку'!Z8,0)</f>
        <v>0</v>
      </c>
      <c r="BK8">
        <f>IF(K8&gt;0,нормы!$C$4*'Задание на гибку'!Z8*2,0)</f>
        <v>0</v>
      </c>
      <c r="BM8">
        <f>IF(K8&gt;0,нормы!$B$4*'Задание на гибку'!Z8*2,0)</f>
        <v>0</v>
      </c>
      <c r="BN8" s="277">
        <f>IF(AK8="решетка жалюзийная",4+('Исходные данные'!H18/52),0)</f>
        <v>0</v>
      </c>
      <c r="BO8">
        <f>IF(AK8="решетка жалюзийная",IF('Исходные данные'!H18&lt;=1000,('Исходные данные'!H18/50),IF('Исходные данные'!H18&gt;1000,('Исходные данные'!H18/50)*2,0)),0)</f>
        <v>0</v>
      </c>
      <c r="BP8">
        <f>IF(AK8="решетка жалюзийная",нормы!$E$5+'Задание на гибку'!BO8*нормы!$B$5,0)</f>
        <v>0</v>
      </c>
      <c r="BQ8">
        <f t="shared" ref="BQ8:BQ21" si="9">BP8*AM8</f>
        <v>0</v>
      </c>
      <c r="BR8">
        <f>IF(AN8="МРП",нормы!$C$5*'Задание на гибку'!AP8*4,IF(AN8="МРЗ",нормы!$C$5*'Задание на гибку'!AP8*2,0))</f>
        <v>0</v>
      </c>
      <c r="BW8">
        <f t="shared" ref="BW8:BW21" si="10">IF(Q8&gt;0,0.024*T8,0)</f>
        <v>0</v>
      </c>
      <c r="BX8">
        <f t="shared" ref="BX8:BX21" si="11">IF(R8&gt;0,0.012*T8,0)</f>
        <v>0</v>
      </c>
      <c r="BY8">
        <f t="shared" ref="BY8:BY21" si="12">IF(O8&gt;0,0.024*T9,0)</f>
        <v>0</v>
      </c>
      <c r="BZ8">
        <f t="shared" ref="BZ8:BZ21" si="13">IF(P8&gt;0,0.012*T8,0)</f>
        <v>0</v>
      </c>
      <c r="CA8">
        <f>AJ8*нормы!$E$5</f>
        <v>0</v>
      </c>
    </row>
    <row r="9" spans="2:79" ht="33" customHeight="1" thickBot="1">
      <c r="B9" s="414" t="s">
        <v>160</v>
      </c>
      <c r="E9" s="127">
        <f t="shared" ref="E9:E24" si="14">E8+1</f>
        <v>3</v>
      </c>
      <c r="F9" s="308">
        <f>'Исходные данные'!B19</f>
        <v>0</v>
      </c>
      <c r="G9" s="308" t="str">
        <f>CONCATENATE('Исходные данные'!C19,'Исходные данные'!D19,'Исходные данные'!E19,'Исходные данные'!F19,"  ",'Исходные данные'!G19,"x",'Исходные данные'!H19,'Исходные данные'!I19,'Исходные данные'!J19,'Исходные данные'!K19, "-",'Исходные данные'!L19,'Исходные данные'!M19,'Исходные данные'!N19,'Исходные данные'!O19,'Исходные данные'!P19,'Исходные данные'!Q19,'Исходные данные'!R19)</f>
        <v xml:space="preserve">  x-</v>
      </c>
      <c r="H9" s="176"/>
      <c r="I9" s="200" t="str">
        <f>IF('Исходные данные'!J19=1,"ВГ 199.01.00.001",IF('Исходные данные'!J19=2,"ВГ 199.01.00.008","---"))</f>
        <v>---</v>
      </c>
      <c r="J9" s="200" t="str">
        <f>IF('Исходные данные'!J19=1,"ВГ 199.01.00.002",IF('Исходные данные'!J19=2,"ВГ 199.01.00.007","---"))</f>
        <v>---</v>
      </c>
      <c r="K9" s="175" t="str">
        <f>CONCATENATE(I9,"----",'Исходные данные'!G19)</f>
        <v>-------</v>
      </c>
      <c r="L9" s="131" t="str">
        <f>CONCATENATE(J9,"----",'Исходные данные'!H19)</f>
        <v>-------</v>
      </c>
      <c r="M9" s="131"/>
      <c r="N9" s="336"/>
      <c r="O9" s="337">
        <f>'Задание на ТРУМПФ'!M9</f>
        <v>0</v>
      </c>
      <c r="P9" s="338">
        <f>'Задание на ТРУМПФ'!N9</f>
        <v>0</v>
      </c>
      <c r="Q9" s="338">
        <f>'Задание на ТРУМПФ'!O9</f>
        <v>0</v>
      </c>
      <c r="R9" s="338">
        <f>'Задание на ТРУМПФ'!P9</f>
        <v>0</v>
      </c>
      <c r="S9" s="338" t="str">
        <f t="shared" si="0"/>
        <v>ОЦ</v>
      </c>
      <c r="T9" s="338">
        <f>'Исходные данные'!S19</f>
        <v>0</v>
      </c>
      <c r="U9" s="338">
        <f>'Задание на ТРУМПФ'!S9</f>
        <v>22</v>
      </c>
      <c r="V9" s="338">
        <f>'Задание на ТРУМПФ'!T9</f>
        <v>22</v>
      </c>
      <c r="W9" s="338">
        <f t="shared" si="1"/>
        <v>0</v>
      </c>
      <c r="X9" s="338" t="str">
        <f t="shared" si="2"/>
        <v>ОЦ</v>
      </c>
      <c r="Y9" s="338">
        <f>'Задание на ТРУМПФ'!W9</f>
        <v>-3</v>
      </c>
      <c r="Z9" s="338">
        <f t="shared" si="3"/>
        <v>0</v>
      </c>
      <c r="AA9" s="338">
        <f>'Задание на ТРУМПФ'!Y9</f>
        <v>-3</v>
      </c>
      <c r="AB9" s="338">
        <f t="shared" si="4"/>
        <v>0</v>
      </c>
      <c r="AC9" s="338">
        <f>IF('Исходные данные'!H19&lt;399,30,IF('Исходные данные'!H19&lt;401,95,IF('Исходные данные'!H19&gt;=450,135,0)))</f>
        <v>30</v>
      </c>
      <c r="AD9" s="338">
        <f>'Задание на ТРУМПФ'!AA9</f>
        <v>0</v>
      </c>
      <c r="AE9" s="338">
        <f>IF('Задание на гибку'!H19&lt;400,30,IF('Задание на гибку'!H19&lt;450,95,IF('Задание на гибку'!H19&lt;=1200,135,0)))</f>
        <v>30</v>
      </c>
      <c r="AF9" s="338">
        <f t="shared" si="5"/>
        <v>0</v>
      </c>
      <c r="AG9" s="339">
        <f>'Задание на ТРУМПФ'!AD9</f>
        <v>0</v>
      </c>
      <c r="AH9" s="339">
        <f t="shared" si="6"/>
        <v>0</v>
      </c>
      <c r="AI9" s="339">
        <f>IF('Задание на ТРУМПФ'!AF9&gt;0,'Задание на ТРУМПФ'!J9-1.5,0)</f>
        <v>0</v>
      </c>
      <c r="AJ9" s="339">
        <f>'Задание на ТРУМПФ'!AG9</f>
        <v>0</v>
      </c>
      <c r="AK9" s="339" t="str">
        <f>Сетка!B19</f>
        <v>---</v>
      </c>
      <c r="AL9" s="339" t="str">
        <f t="shared" si="7"/>
        <v>0х0</v>
      </c>
      <c r="AM9" s="339">
        <f t="shared" si="8"/>
        <v>0</v>
      </c>
      <c r="AN9" s="339">
        <f>МРП!F19</f>
        <v>0</v>
      </c>
      <c r="AO9" s="339">
        <f>МРП!B19</f>
        <v>0</v>
      </c>
      <c r="AP9" s="339">
        <f>МРП!C19*2</f>
        <v>0</v>
      </c>
      <c r="AQ9" s="339">
        <f>МРП!D19</f>
        <v>0</v>
      </c>
      <c r="AR9" s="309">
        <f>МРП!E19*2</f>
        <v>0</v>
      </c>
      <c r="AV9" s="292">
        <f>IF('Исходные данные'!J19=1,нормы!$F$5*'Задание на гибку'!T9*2,IF('Исходные данные'!J19=2,нормы!$G$5*'Задание на гибку'!T9*2,0))</f>
        <v>0</v>
      </c>
      <c r="AW9" s="292">
        <f>IF('Исходные данные'!J19=1,нормы!$D$5*'Задание на гибку'!T9*2,IF('Исходные данные'!J19=2,нормы!$E$5*'Задание на гибку'!T9*2,0))</f>
        <v>0</v>
      </c>
      <c r="BB9">
        <f>IF(K9&gt;0,нормы!$E$5*'Задание на гибку'!W9,0)</f>
        <v>0</v>
      </c>
      <c r="BF9">
        <f>IF(K9&gt;0,нормы!$C$4*'Задание на гибку'!Z9,0)</f>
        <v>0</v>
      </c>
      <c r="BG9">
        <f>IF(K9&gt;0,нормы!$B$4*'Задание на гибку'!Z9,0)</f>
        <v>0</v>
      </c>
      <c r="BK9">
        <f>IF(K9&gt;0,нормы!$C$4*'Задание на гибку'!Z9*2,0)</f>
        <v>0</v>
      </c>
      <c r="BM9">
        <f>IF(K9&gt;0,нормы!$B$4*'Задание на гибку'!Z9*2,0)</f>
        <v>0</v>
      </c>
      <c r="BN9" s="277">
        <f>IF(AK9="решетка жалюзийная",4+('Исходные данные'!H19/52),0)</f>
        <v>0</v>
      </c>
      <c r="BO9">
        <f>IF(AK9="решетка жалюзийная",IF('Исходные данные'!H19&lt;=1000,('Исходные данные'!H19/50),IF('Исходные данные'!H19&gt;1000,('Исходные данные'!H19/50)*2,0)),0)</f>
        <v>0</v>
      </c>
      <c r="BP9">
        <f>IF(AK9="решетка жалюзийная",нормы!$E$5+'Задание на гибку'!BO9*нормы!$B$5,0)</f>
        <v>0</v>
      </c>
      <c r="BQ9">
        <f t="shared" si="9"/>
        <v>0</v>
      </c>
      <c r="BR9">
        <f>IF(AN9="МРП",нормы!$C$5*'Задание на гибку'!AP9*4,IF(AN9="МРЗ",нормы!$C$5*'Задание на гибку'!AP9*2,0))</f>
        <v>0</v>
      </c>
      <c r="BW9">
        <f t="shared" si="10"/>
        <v>0</v>
      </c>
      <c r="BX9">
        <f t="shared" si="11"/>
        <v>0</v>
      </c>
      <c r="BY9">
        <f t="shared" si="12"/>
        <v>0</v>
      </c>
      <c r="BZ9">
        <f t="shared" si="13"/>
        <v>0</v>
      </c>
      <c r="CA9">
        <f>AJ9*нормы!$E$5</f>
        <v>0</v>
      </c>
    </row>
    <row r="10" spans="2:79" ht="42" customHeight="1" thickBot="1">
      <c r="B10" s="414"/>
      <c r="E10" s="127">
        <f t="shared" si="14"/>
        <v>4</v>
      </c>
      <c r="F10" s="308">
        <f>'Исходные данные'!B20</f>
        <v>0</v>
      </c>
      <c r="G10" s="308" t="str">
        <f>CONCATENATE('Исходные данные'!C20,'Исходные данные'!D20,'Исходные данные'!E20,'Исходные данные'!F20,"  ",'Исходные данные'!G20,"x",'Исходные данные'!H20,'Исходные данные'!I20,'Исходные данные'!J20,'Исходные данные'!K20, "-",'Исходные данные'!L20,'Исходные данные'!M20,'Исходные данные'!N20,'Исходные данные'!O20,'Исходные данные'!P20,'Исходные данные'!Q20,'Исходные данные'!R20)</f>
        <v xml:space="preserve">  x-</v>
      </c>
      <c r="H10" s="176"/>
      <c r="I10" s="200" t="str">
        <f>IF('Исходные данные'!J20=1,"ВГ 199.01.00.001",IF('Исходные данные'!J20=2,"ВГ 199.01.00.008","---"))</f>
        <v>---</v>
      </c>
      <c r="J10" s="200" t="str">
        <f>IF('Исходные данные'!J20=1,"ВГ 199.01.00.002",IF('Исходные данные'!J20=2,"ВГ 199.01.00.007","---"))</f>
        <v>---</v>
      </c>
      <c r="K10" s="175" t="str">
        <f>CONCATENATE(I10,"----",'Исходные данные'!G20)</f>
        <v>-------</v>
      </c>
      <c r="L10" s="131" t="str">
        <f>CONCATENATE(J10,"----",'Исходные данные'!H20)</f>
        <v>-------</v>
      </c>
      <c r="M10" s="131"/>
      <c r="N10" s="336"/>
      <c r="O10" s="337">
        <f>'Задание на ТРУМПФ'!M10</f>
        <v>0</v>
      </c>
      <c r="P10" s="338">
        <f>'Задание на ТРУМПФ'!N10</f>
        <v>0</v>
      </c>
      <c r="Q10" s="338">
        <f>'Задание на ТРУМПФ'!O10</f>
        <v>0</v>
      </c>
      <c r="R10" s="338">
        <f>'Задание на ТРУМПФ'!P10</f>
        <v>0</v>
      </c>
      <c r="S10" s="338" t="str">
        <f t="shared" si="0"/>
        <v>ОЦ</v>
      </c>
      <c r="T10" s="338">
        <f>'Исходные данные'!S20</f>
        <v>0</v>
      </c>
      <c r="U10" s="338">
        <f>'Задание на ТРУМПФ'!S10</f>
        <v>22</v>
      </c>
      <c r="V10" s="338">
        <f>'Задание на ТРУМПФ'!T10</f>
        <v>22</v>
      </c>
      <c r="W10" s="338">
        <f t="shared" si="1"/>
        <v>0</v>
      </c>
      <c r="X10" s="338" t="str">
        <f t="shared" si="2"/>
        <v>ОЦ</v>
      </c>
      <c r="Y10" s="338">
        <f>'Задание на ТРУМПФ'!W10</f>
        <v>-3</v>
      </c>
      <c r="Z10" s="338">
        <f t="shared" si="3"/>
        <v>0</v>
      </c>
      <c r="AA10" s="338">
        <f>'Задание на ТРУМПФ'!Y10</f>
        <v>-3</v>
      </c>
      <c r="AB10" s="338">
        <f t="shared" si="4"/>
        <v>0</v>
      </c>
      <c r="AC10" s="338">
        <f>IF('Исходные данные'!H20&lt;399,30,IF('Исходные данные'!H20&lt;401,95,IF('Исходные данные'!H20&gt;=450,135,0)))</f>
        <v>30</v>
      </c>
      <c r="AD10" s="338">
        <f>'Задание на ТРУМПФ'!AA10</f>
        <v>0</v>
      </c>
      <c r="AE10" s="338">
        <f>IF('Задание на гибку'!H20&lt;400,30,IF('Задание на гибку'!H20&lt;450,95,IF('Задание на гибку'!H20&lt;=1200,135,0)))</f>
        <v>30</v>
      </c>
      <c r="AF10" s="338">
        <f t="shared" si="5"/>
        <v>0</v>
      </c>
      <c r="AG10" s="339">
        <f>'Задание на ТРУМПФ'!AD10</f>
        <v>0</v>
      </c>
      <c r="AH10" s="339">
        <f t="shared" si="6"/>
        <v>0</v>
      </c>
      <c r="AI10" s="339">
        <f>IF('Задание на ТРУМПФ'!AF10&gt;0,'Задание на ТРУМПФ'!J10-1.5,0)</f>
        <v>0</v>
      </c>
      <c r="AJ10" s="339">
        <f>'Задание на ТРУМПФ'!AG10</f>
        <v>0</v>
      </c>
      <c r="AK10" s="339" t="str">
        <f>Сетка!B20</f>
        <v>---</v>
      </c>
      <c r="AL10" s="339" t="str">
        <f t="shared" si="7"/>
        <v>0х0</v>
      </c>
      <c r="AM10" s="339">
        <f t="shared" si="8"/>
        <v>0</v>
      </c>
      <c r="AN10" s="339">
        <f>МРП!F20</f>
        <v>0</v>
      </c>
      <c r="AO10" s="339">
        <f>МРП!B20</f>
        <v>0</v>
      </c>
      <c r="AP10" s="339">
        <f>МРП!C20*2</f>
        <v>0</v>
      </c>
      <c r="AQ10" s="339">
        <f>МРП!D20</f>
        <v>0</v>
      </c>
      <c r="AR10" s="309">
        <f>МРП!E20*2</f>
        <v>0</v>
      </c>
      <c r="AV10" s="292">
        <f>IF('Исходные данные'!J20=1,нормы!$F$5*'Задание на гибку'!T10*2,IF('Исходные данные'!J20=2,нормы!$G$5*'Задание на гибку'!T10*2,0))</f>
        <v>0</v>
      </c>
      <c r="AW10" s="292">
        <f>IF('Исходные данные'!J20=1,нормы!$D$5*'Задание на гибку'!T10*2,IF('Исходные данные'!J20=2,нормы!$E$5*'Задание на гибку'!T10*2,0))</f>
        <v>0</v>
      </c>
      <c r="BB10">
        <f>IF(K10&gt;0,нормы!$E$5*'Задание на гибку'!W10,0)</f>
        <v>0</v>
      </c>
      <c r="BF10">
        <f>IF(K10&gt;0,нормы!$C$4*'Задание на гибку'!Z10,0)</f>
        <v>0</v>
      </c>
      <c r="BG10">
        <f>IF(K10&gt;0,нормы!$B$4*'Задание на гибку'!Z10,0)</f>
        <v>0</v>
      </c>
      <c r="BK10">
        <f>IF(K10&gt;0,нормы!$C$4*'Задание на гибку'!Z10*2,0)</f>
        <v>0</v>
      </c>
      <c r="BM10">
        <f>IF(K10&gt;0,нормы!$B$4*'Задание на гибку'!Z10*2,0)</f>
        <v>0</v>
      </c>
      <c r="BN10" s="277">
        <f>IF(AK10="решетка жалюзийная",4+('Исходные данные'!H20/52),0)</f>
        <v>0</v>
      </c>
      <c r="BO10">
        <f>IF(AK10="решетка жалюзийная",IF('Исходные данные'!H20&lt;=1000,('Исходные данные'!H20/50),IF('Исходные данные'!H20&gt;1000,('Исходные данные'!H20/50)*2,0)),0)</f>
        <v>0</v>
      </c>
      <c r="BP10">
        <f>IF(AK10="решетка жалюзийная",нормы!$E$5+'Задание на гибку'!BO10*нормы!$B$5,0)</f>
        <v>0</v>
      </c>
      <c r="BQ10">
        <f t="shared" si="9"/>
        <v>0</v>
      </c>
      <c r="BR10">
        <f>IF(AN10="МРП",нормы!$C$5*'Задание на гибку'!AP10*4,IF(AN10="МРЗ",нормы!$C$5*'Задание на гибку'!AP10*2,0))</f>
        <v>0</v>
      </c>
      <c r="BW10">
        <f t="shared" si="10"/>
        <v>0</v>
      </c>
      <c r="BX10">
        <f t="shared" si="11"/>
        <v>0</v>
      </c>
      <c r="BY10">
        <f t="shared" si="12"/>
        <v>0</v>
      </c>
      <c r="BZ10">
        <f t="shared" si="13"/>
        <v>0</v>
      </c>
      <c r="CA10">
        <f>AJ10*нормы!$E$5</f>
        <v>0</v>
      </c>
    </row>
    <row r="11" spans="2:79" ht="33" customHeight="1" thickBot="1">
      <c r="B11" s="414"/>
      <c r="E11" s="127">
        <f t="shared" si="14"/>
        <v>5</v>
      </c>
      <c r="F11" s="308">
        <f>'Исходные данные'!B21</f>
        <v>0</v>
      </c>
      <c r="G11" s="308" t="str">
        <f>CONCATENATE('Исходные данные'!C21,'Исходные данные'!D21,'Исходные данные'!E21,'Исходные данные'!F21,"  ",'Исходные данные'!G21,"x",'Исходные данные'!H21,'Исходные данные'!I21,'Исходные данные'!J21,'Исходные данные'!K21, "-",'Исходные данные'!L21,'Исходные данные'!M21,'Исходные данные'!N21,'Исходные данные'!O21,'Исходные данные'!P21,'Исходные данные'!Q21,'Исходные данные'!R21)</f>
        <v xml:space="preserve">  x-</v>
      </c>
      <c r="H11" s="176"/>
      <c r="I11" s="200" t="str">
        <f>IF('Исходные данные'!J21=1,"ВГ 199.01.00.001",IF('Исходные данные'!J21=2,"ВГ 199.01.00.008","---"))</f>
        <v>---</v>
      </c>
      <c r="J11" s="200" t="str">
        <f>IF('Исходные данные'!J21=1,"ВГ 199.01.00.002",IF('Исходные данные'!J21=2,"ВГ 199.01.00.007","---"))</f>
        <v>---</v>
      </c>
      <c r="K11" s="175" t="str">
        <f>CONCATENATE(I11,"----",'Исходные данные'!G21)</f>
        <v>-------</v>
      </c>
      <c r="L11" s="131" t="str">
        <f>CONCATENATE(J11,"----",'Исходные данные'!H21)</f>
        <v>-------</v>
      </c>
      <c r="M11" s="131"/>
      <c r="N11" s="336"/>
      <c r="O11" s="337">
        <f>'Задание на ТРУМПФ'!M11</f>
        <v>0</v>
      </c>
      <c r="P11" s="338">
        <f>'Задание на ТРУМПФ'!N11</f>
        <v>0</v>
      </c>
      <c r="Q11" s="338">
        <f>'Задание на ТРУМПФ'!O11</f>
        <v>0</v>
      </c>
      <c r="R11" s="338">
        <f>'Задание на ТРУМПФ'!P11</f>
        <v>0</v>
      </c>
      <c r="S11" s="338" t="str">
        <f t="shared" si="0"/>
        <v>ОЦ</v>
      </c>
      <c r="T11" s="338">
        <f>'Исходные данные'!S21</f>
        <v>0</v>
      </c>
      <c r="U11" s="338">
        <f>'Задание на ТРУМПФ'!S11</f>
        <v>22</v>
      </c>
      <c r="V11" s="338">
        <f>'Задание на ТРУМПФ'!T11</f>
        <v>22</v>
      </c>
      <c r="W11" s="338">
        <f t="shared" si="1"/>
        <v>0</v>
      </c>
      <c r="X11" s="338" t="str">
        <f t="shared" si="2"/>
        <v>ОЦ</v>
      </c>
      <c r="Y11" s="338">
        <f>'Задание на ТРУМПФ'!W11</f>
        <v>-3</v>
      </c>
      <c r="Z11" s="338">
        <f t="shared" si="3"/>
        <v>0</v>
      </c>
      <c r="AA11" s="338">
        <f>'Задание на ТРУМПФ'!Y11</f>
        <v>-3</v>
      </c>
      <c r="AB11" s="338">
        <f t="shared" si="4"/>
        <v>0</v>
      </c>
      <c r="AC11" s="338">
        <f>IF('Исходные данные'!H21&lt;399,30,IF('Исходные данные'!H21&lt;401,95,IF('Исходные данные'!H21&gt;=450,135,0)))</f>
        <v>30</v>
      </c>
      <c r="AD11" s="338">
        <f>'Задание на ТРУМПФ'!AA11</f>
        <v>0</v>
      </c>
      <c r="AE11" s="338">
        <f>IF('Задание на гибку'!H21&lt;400,30,IF('Задание на гибку'!H21&lt;450,95,IF('Задание на гибку'!H21&lt;=1200,135,0)))</f>
        <v>30</v>
      </c>
      <c r="AF11" s="338">
        <f t="shared" si="5"/>
        <v>0</v>
      </c>
      <c r="AG11" s="339">
        <f>'Задание на ТРУМПФ'!AD11</f>
        <v>0</v>
      </c>
      <c r="AH11" s="339">
        <f t="shared" si="6"/>
        <v>0</v>
      </c>
      <c r="AI11" s="339">
        <f>IF('Задание на ТРУМПФ'!AF11&gt;0,'Задание на ТРУМПФ'!J11-1.5,0)</f>
        <v>0</v>
      </c>
      <c r="AJ11" s="339">
        <f>'Задание на ТРУМПФ'!AG11</f>
        <v>0</v>
      </c>
      <c r="AK11" s="339" t="str">
        <f>Сетка!B21</f>
        <v>---</v>
      </c>
      <c r="AL11" s="339" t="str">
        <f t="shared" si="7"/>
        <v>0х0</v>
      </c>
      <c r="AM11" s="339">
        <f t="shared" si="8"/>
        <v>0</v>
      </c>
      <c r="AN11" s="339">
        <f>МРП!F21</f>
        <v>0</v>
      </c>
      <c r="AO11" s="339">
        <f>МРП!B21</f>
        <v>0</v>
      </c>
      <c r="AP11" s="339">
        <f>МРП!C21*2</f>
        <v>0</v>
      </c>
      <c r="AQ11" s="339">
        <f>МРП!D21</f>
        <v>0</v>
      </c>
      <c r="AR11" s="309">
        <f>МРП!E21*2</f>
        <v>0</v>
      </c>
      <c r="AV11" s="292">
        <f>IF('Исходные данные'!J21=1,нормы!$F$5*'Задание на гибку'!T11*2,IF('Исходные данные'!J21=2,нормы!$G$5*'Задание на гибку'!T11*2,0))</f>
        <v>0</v>
      </c>
      <c r="AW11" s="292">
        <f>IF('Исходные данные'!J21=1,нормы!$D$5*'Задание на гибку'!T11*2,IF('Исходные данные'!J21=2,нормы!$E$5*'Задание на гибку'!T11*2,0))</f>
        <v>0</v>
      </c>
      <c r="BB11">
        <f>IF(K11&gt;0,нормы!$E$5*'Задание на гибку'!W11,0)</f>
        <v>0</v>
      </c>
      <c r="BF11">
        <f>IF(K11&gt;0,нормы!$C$4*'Задание на гибку'!Z11,0)</f>
        <v>0</v>
      </c>
      <c r="BG11">
        <f>IF(K11&gt;0,нормы!$B$4*'Задание на гибку'!Z11,0)</f>
        <v>0</v>
      </c>
      <c r="BK11">
        <f>IF(K11&gt;0,нормы!$C$4*'Задание на гибку'!Z11*2,0)</f>
        <v>0</v>
      </c>
      <c r="BM11">
        <f>IF(K11&gt;0,нормы!$B$4*'Задание на гибку'!Z11*2,0)</f>
        <v>0</v>
      </c>
      <c r="BN11" s="277">
        <f>IF(AK11="решетка жалюзийная",4+('Исходные данные'!H21/52),0)</f>
        <v>0</v>
      </c>
      <c r="BO11">
        <f>IF(AK11="решетка жалюзийная",IF('Исходные данные'!H21&lt;=1000,('Исходные данные'!H21/50),IF('Исходные данные'!H21&gt;1000,('Исходные данные'!H21/50)*2,0)),0)</f>
        <v>0</v>
      </c>
      <c r="BP11">
        <f>IF(AK11="решетка жалюзийная",нормы!$E$5+'Задание на гибку'!BO11*нормы!$B$5,0)</f>
        <v>0</v>
      </c>
      <c r="BQ11">
        <f t="shared" si="9"/>
        <v>0</v>
      </c>
      <c r="BR11">
        <f>IF(AN11="МРП",нормы!$C$5*'Задание на гибку'!AP11*4,IF(AN11="МРЗ",нормы!$C$5*'Задание на гибку'!AP11*2,0))</f>
        <v>0</v>
      </c>
      <c r="BW11">
        <f t="shared" si="10"/>
        <v>0</v>
      </c>
      <c r="BX11">
        <f t="shared" si="11"/>
        <v>0</v>
      </c>
      <c r="BY11">
        <f t="shared" si="12"/>
        <v>0</v>
      </c>
      <c r="BZ11">
        <f t="shared" si="13"/>
        <v>0</v>
      </c>
      <c r="CA11">
        <f>AJ11*нормы!$E$5</f>
        <v>0</v>
      </c>
    </row>
    <row r="12" spans="2:79" ht="33" customHeight="1" thickBot="1">
      <c r="B12" s="414"/>
      <c r="E12" s="127">
        <f t="shared" si="14"/>
        <v>6</v>
      </c>
      <c r="F12" s="308">
        <f>'Исходные данные'!B22</f>
        <v>0</v>
      </c>
      <c r="G12" s="308" t="str">
        <f>CONCATENATE('Исходные данные'!C22,'Исходные данные'!D22,'Исходные данные'!E22,'Исходные данные'!F22,"  ",'Исходные данные'!G22,"x",'Исходные данные'!H22,'Исходные данные'!I22,'Исходные данные'!J22,'Исходные данные'!K22, "-",'Исходные данные'!L22,'Исходные данные'!M22,'Исходные данные'!N22,'Исходные данные'!O22,'Исходные данные'!P22,'Исходные данные'!Q22,'Исходные данные'!R22)</f>
        <v xml:space="preserve">  x-</v>
      </c>
      <c r="H12" s="176"/>
      <c r="I12" s="200" t="str">
        <f>IF('Исходные данные'!J22=1,"ВГ 199.01.00.001",IF('Исходные данные'!J22=2,"ВГ 199.01.00.008","---"))</f>
        <v>---</v>
      </c>
      <c r="J12" s="200" t="str">
        <f>IF('Исходные данные'!J22=1,"ВГ 199.01.00.002",IF('Исходные данные'!J22=2,"ВГ 199.01.00.007","---"))</f>
        <v>---</v>
      </c>
      <c r="K12" s="175" t="str">
        <f>CONCATENATE(I12,"----",'Исходные данные'!G22)</f>
        <v>-------</v>
      </c>
      <c r="L12" s="131" t="str">
        <f>CONCATENATE(J12,"----",'Исходные данные'!H22)</f>
        <v>-------</v>
      </c>
      <c r="M12" s="131"/>
      <c r="N12" s="336"/>
      <c r="O12" s="337">
        <f>'Задание на ТРУМПФ'!M12</f>
        <v>0</v>
      </c>
      <c r="P12" s="338">
        <f>'Задание на ТРУМПФ'!N12</f>
        <v>0</v>
      </c>
      <c r="Q12" s="338">
        <f>'Задание на ТРУМПФ'!O12</f>
        <v>0</v>
      </c>
      <c r="R12" s="338">
        <f>'Задание на ТРУМПФ'!P12</f>
        <v>0</v>
      </c>
      <c r="S12" s="338" t="str">
        <f t="shared" si="0"/>
        <v>ОЦ</v>
      </c>
      <c r="T12" s="338">
        <f>'Исходные данные'!S22</f>
        <v>0</v>
      </c>
      <c r="U12" s="338">
        <f>'Задание на ТРУМПФ'!S12</f>
        <v>22</v>
      </c>
      <c r="V12" s="338">
        <f>'Задание на ТРУМПФ'!T12</f>
        <v>22</v>
      </c>
      <c r="W12" s="338">
        <f t="shared" si="1"/>
        <v>0</v>
      </c>
      <c r="X12" s="338" t="str">
        <f t="shared" si="2"/>
        <v>ОЦ</v>
      </c>
      <c r="Y12" s="338">
        <f>'Задание на ТРУМПФ'!W12</f>
        <v>-3</v>
      </c>
      <c r="Z12" s="338">
        <f t="shared" si="3"/>
        <v>0</v>
      </c>
      <c r="AA12" s="338">
        <f>'Задание на ТРУМПФ'!Y12</f>
        <v>-3</v>
      </c>
      <c r="AB12" s="338">
        <f t="shared" si="4"/>
        <v>0</v>
      </c>
      <c r="AC12" s="338">
        <f>IF('Исходные данные'!H22&lt;399,30,IF('Исходные данные'!H22&lt;401,95,IF('Исходные данные'!H22&gt;=450,135,0)))</f>
        <v>30</v>
      </c>
      <c r="AD12" s="338">
        <f>'Задание на ТРУМПФ'!AA12</f>
        <v>0</v>
      </c>
      <c r="AE12" s="338">
        <f>IF('Задание на гибку'!H22&lt;400,30,IF('Задание на гибку'!H22&lt;450,95,IF('Задание на гибку'!H22&lt;=1200,135,0)))</f>
        <v>30</v>
      </c>
      <c r="AF12" s="338">
        <f t="shared" si="5"/>
        <v>0</v>
      </c>
      <c r="AG12" s="339">
        <f>'Задание на ТРУМПФ'!AD12</f>
        <v>0</v>
      </c>
      <c r="AH12" s="339">
        <f t="shared" si="6"/>
        <v>0</v>
      </c>
      <c r="AI12" s="339">
        <f>IF('Задание на ТРУМПФ'!AF12&gt;0,'Задание на ТРУМПФ'!J12-1.5,0)</f>
        <v>0</v>
      </c>
      <c r="AJ12" s="339">
        <f>'Задание на ТРУМПФ'!AG12</f>
        <v>0</v>
      </c>
      <c r="AK12" s="339" t="str">
        <f>Сетка!B22</f>
        <v>---</v>
      </c>
      <c r="AL12" s="339" t="str">
        <f t="shared" si="7"/>
        <v>0х0</v>
      </c>
      <c r="AM12" s="339">
        <f t="shared" si="8"/>
        <v>0</v>
      </c>
      <c r="AN12" s="339">
        <f>МРП!F22</f>
        <v>0</v>
      </c>
      <c r="AO12" s="339">
        <f>МРП!B22</f>
        <v>0</v>
      </c>
      <c r="AP12" s="339">
        <f>МРП!C22*2</f>
        <v>0</v>
      </c>
      <c r="AQ12" s="339">
        <f>МРП!D22</f>
        <v>0</v>
      </c>
      <c r="AR12" s="309">
        <f>МРП!E22*2</f>
        <v>0</v>
      </c>
      <c r="AV12" s="292">
        <f>IF('Исходные данные'!J22=1,нормы!$F$5*'Задание на гибку'!T12*2,IF('Исходные данные'!J22=2,нормы!$G$5*'Задание на гибку'!T12*2,0))</f>
        <v>0</v>
      </c>
      <c r="AW12" s="292">
        <f>IF('Исходные данные'!J22=1,нормы!$D$5*'Задание на гибку'!T12*2,IF('Исходные данные'!J22=2,нормы!$E$5*'Задание на гибку'!T12*2,0))</f>
        <v>0</v>
      </c>
      <c r="BB12">
        <f>IF(K12&gt;0,нормы!$E$5*'Задание на гибку'!W12,0)</f>
        <v>0</v>
      </c>
      <c r="BF12">
        <f>IF(K12&gt;0,нормы!$C$4*'Задание на гибку'!Z12,0)</f>
        <v>0</v>
      </c>
      <c r="BG12">
        <f>IF(K12&gt;0,нормы!$B$4*'Задание на гибку'!Z12,0)</f>
        <v>0</v>
      </c>
      <c r="BK12">
        <f>IF(K12&gt;0,нормы!$C$4*'Задание на гибку'!Z12*2,0)</f>
        <v>0</v>
      </c>
      <c r="BM12">
        <f>IF(K12&gt;0,нормы!$B$4*'Задание на гибку'!Z12*2,0)</f>
        <v>0</v>
      </c>
      <c r="BN12" s="277">
        <f>IF(AK12="решетка жалюзийная",4+('Исходные данные'!H22/52),0)</f>
        <v>0</v>
      </c>
      <c r="BO12">
        <f>IF(AK12="решетка жалюзийная",IF('Исходные данные'!H22&lt;=1000,('Исходные данные'!H22/50),IF('Исходные данные'!H22&gt;1000,('Исходные данные'!H22/50)*2,0)),0)</f>
        <v>0</v>
      </c>
      <c r="BP12">
        <f>IF(AK12="решетка жалюзийная",нормы!$E$5+'Задание на гибку'!BO12*нормы!$B$5,0)</f>
        <v>0</v>
      </c>
      <c r="BQ12">
        <f t="shared" si="9"/>
        <v>0</v>
      </c>
      <c r="BR12">
        <f>IF(AN12="МРП",нормы!$C$5*'Задание на гибку'!AP12*4,IF(AN12="МРЗ",нормы!$C$5*'Задание на гибку'!AP12*2,0))</f>
        <v>0</v>
      </c>
      <c r="BW12">
        <f t="shared" si="10"/>
        <v>0</v>
      </c>
      <c r="BX12">
        <f t="shared" si="11"/>
        <v>0</v>
      </c>
      <c r="BY12">
        <f t="shared" si="12"/>
        <v>0</v>
      </c>
      <c r="BZ12">
        <f t="shared" si="13"/>
        <v>0</v>
      </c>
      <c r="CA12">
        <f>AJ12*нормы!$E$5</f>
        <v>0</v>
      </c>
    </row>
    <row r="13" spans="2:79" ht="33" customHeight="1" thickBot="1">
      <c r="B13" s="414"/>
      <c r="E13" s="127">
        <f t="shared" si="14"/>
        <v>7</v>
      </c>
      <c r="F13" s="308">
        <f>'Исходные данные'!B23</f>
        <v>0</v>
      </c>
      <c r="G13" s="308" t="str">
        <f>CONCATENATE('Исходные данные'!C23,'Исходные данные'!D23,'Исходные данные'!E23,'Исходные данные'!F23,"  ",'Исходные данные'!G23,"x",'Исходные данные'!H23,'Исходные данные'!I23,'Исходные данные'!J23,'Исходные данные'!K23, "-",'Исходные данные'!L23,'Исходные данные'!M23,'Исходные данные'!N23,'Исходные данные'!O23,'Исходные данные'!P23,'Исходные данные'!Q23,'Исходные данные'!R23)</f>
        <v xml:space="preserve">  x-----</v>
      </c>
      <c r="H13" s="176"/>
      <c r="I13" s="200" t="str">
        <f>IF('Исходные данные'!J23=1,"ВГ 199.01.00.001",IF('Исходные данные'!J23=2,"ВГ 199.01.00.008","---"))</f>
        <v>---</v>
      </c>
      <c r="J13" s="200" t="str">
        <f>IF('Исходные данные'!J23=1,"ВГ 199.01.00.002",IF('Исходные данные'!J23=2,"ВГ 199.01.00.007","---"))</f>
        <v>---</v>
      </c>
      <c r="K13" s="175" t="str">
        <f>CONCATENATE(I13,"----",'Исходные данные'!G23)</f>
        <v>-------</v>
      </c>
      <c r="L13" s="131" t="str">
        <f>CONCATENATE(J13,"----",'Исходные данные'!H23)</f>
        <v>-------</v>
      </c>
      <c r="M13" s="131"/>
      <c r="N13" s="336"/>
      <c r="O13" s="337">
        <f>'Задание на ТРУМПФ'!M13</f>
        <v>0</v>
      </c>
      <c r="P13" s="338">
        <f>'Задание на ТРУМПФ'!N13</f>
        <v>0</v>
      </c>
      <c r="Q13" s="338">
        <f>'Задание на ТРУМПФ'!O13</f>
        <v>0</v>
      </c>
      <c r="R13" s="338">
        <f>'Задание на ТРУМПФ'!P13</f>
        <v>0</v>
      </c>
      <c r="S13" s="338" t="str">
        <f t="shared" si="0"/>
        <v>ОЦ</v>
      </c>
      <c r="T13" s="338">
        <f>'Исходные данные'!S23</f>
        <v>0</v>
      </c>
      <c r="U13" s="338">
        <f>'Задание на ТРУМПФ'!S13</f>
        <v>22</v>
      </c>
      <c r="V13" s="338">
        <f>'Задание на ТРУМПФ'!T13</f>
        <v>22</v>
      </c>
      <c r="W13" s="338">
        <f t="shared" si="1"/>
        <v>0</v>
      </c>
      <c r="X13" s="338" t="str">
        <f t="shared" si="2"/>
        <v>ОЦ</v>
      </c>
      <c r="Y13" s="338">
        <f>'Задание на ТРУМПФ'!W13</f>
        <v>-3</v>
      </c>
      <c r="Z13" s="338">
        <f t="shared" si="3"/>
        <v>0</v>
      </c>
      <c r="AA13" s="338">
        <f>'Задание на ТРУМПФ'!Y13</f>
        <v>-3</v>
      </c>
      <c r="AB13" s="338">
        <f t="shared" si="4"/>
        <v>0</v>
      </c>
      <c r="AC13" s="338">
        <f>IF('Исходные данные'!H23&lt;399,30,IF('Исходные данные'!H23&lt;401,95,IF('Исходные данные'!H23&gt;=450,135,0)))</f>
        <v>30</v>
      </c>
      <c r="AD13" s="338">
        <f>'Задание на ТРУМПФ'!AA13</f>
        <v>0</v>
      </c>
      <c r="AE13" s="338">
        <f>IF('Задание на гибку'!H23&lt;400,30,IF('Задание на гибку'!H23&lt;450,95,IF('Задание на гибку'!H23&lt;=1200,135,0)))</f>
        <v>30</v>
      </c>
      <c r="AF13" s="338">
        <f t="shared" si="5"/>
        <v>0</v>
      </c>
      <c r="AG13" s="339">
        <f>'Задание на ТРУМПФ'!AD13</f>
        <v>0</v>
      </c>
      <c r="AH13" s="339">
        <f t="shared" si="6"/>
        <v>0</v>
      </c>
      <c r="AI13" s="339">
        <f>IF('Задание на ТРУМПФ'!AF13&gt;0,'Задание на ТРУМПФ'!J13-1.5,0)</f>
        <v>0</v>
      </c>
      <c r="AJ13" s="339">
        <f>'Задание на ТРУМПФ'!AG13</f>
        <v>0</v>
      </c>
      <c r="AK13" s="339" t="str">
        <f>Сетка!B23</f>
        <v>---</v>
      </c>
      <c r="AL13" s="339" t="str">
        <f t="shared" si="7"/>
        <v>0х0</v>
      </c>
      <c r="AM13" s="339">
        <f t="shared" si="8"/>
        <v>0</v>
      </c>
      <c r="AN13" s="339">
        <f>МРП!F23</f>
        <v>0</v>
      </c>
      <c r="AO13" s="339">
        <f>МРП!B23</f>
        <v>0</v>
      </c>
      <c r="AP13" s="339">
        <f>МРП!C23*2</f>
        <v>0</v>
      </c>
      <c r="AQ13" s="339">
        <f>МРП!D23</f>
        <v>0</v>
      </c>
      <c r="AR13" s="309">
        <f>МРП!E23*2</f>
        <v>0</v>
      </c>
      <c r="AV13" s="292">
        <f>IF('Исходные данные'!J23=1,нормы!$F$5*'Задание на гибку'!T13*2,IF('Исходные данные'!J23=2,нормы!$G$5*'Задание на гибку'!T13*2,0))</f>
        <v>0</v>
      </c>
      <c r="AW13" s="292">
        <f>IF('Исходные данные'!J23=1,нормы!$D$5*'Задание на гибку'!T13*2,IF('Исходные данные'!J23=2,нормы!$E$5*'Задание на гибку'!T13*2,0))</f>
        <v>0</v>
      </c>
      <c r="BB13">
        <f>IF(K13&gt;0,нормы!$E$5*'Задание на гибку'!W13,0)</f>
        <v>0</v>
      </c>
      <c r="BF13">
        <f>IF(K13&gt;0,нормы!$C$4*'Задание на гибку'!Z13,0)</f>
        <v>0</v>
      </c>
      <c r="BG13">
        <f>IF(K13&gt;0,нормы!$B$4*'Задание на гибку'!Z13,0)</f>
        <v>0</v>
      </c>
      <c r="BK13">
        <f>IF(K13&gt;0,нормы!$C$4*'Задание на гибку'!Z13*2,0)</f>
        <v>0</v>
      </c>
      <c r="BM13">
        <f>IF(K13&gt;0,нормы!$B$4*'Задание на гибку'!Z13*2,0)</f>
        <v>0</v>
      </c>
      <c r="BN13" s="277">
        <f>IF(AK13="решетка жалюзийная",4+('Исходные данные'!H23/52),0)</f>
        <v>0</v>
      </c>
      <c r="BO13">
        <f>IF(AK13="решетка жалюзийная",IF('Исходные данные'!H23&lt;=1000,('Исходные данные'!H23/50),IF('Исходные данные'!H23&gt;1000,('Исходные данные'!H23/50)*2,0)),0)</f>
        <v>0</v>
      </c>
      <c r="BP13">
        <f>IF(AK13="решетка жалюзийная",нормы!$E$5+'Задание на гибку'!BO13*нормы!$B$5,0)</f>
        <v>0</v>
      </c>
      <c r="BQ13">
        <f t="shared" si="9"/>
        <v>0</v>
      </c>
      <c r="BR13">
        <f>IF(AN13="МРП",нормы!$C$5*'Задание на гибку'!AP13*4,IF(AN13="МРЗ",нормы!$C$5*'Задание на гибку'!AP13*2,0))</f>
        <v>0</v>
      </c>
      <c r="BW13">
        <f t="shared" si="10"/>
        <v>0</v>
      </c>
      <c r="BX13">
        <f t="shared" si="11"/>
        <v>0</v>
      </c>
      <c r="BY13">
        <f t="shared" si="12"/>
        <v>0</v>
      </c>
      <c r="BZ13">
        <f t="shared" si="13"/>
        <v>0</v>
      </c>
      <c r="CA13">
        <f>AJ13*нормы!$E$5</f>
        <v>0</v>
      </c>
    </row>
    <row r="14" spans="2:79" ht="33" customHeight="1" thickBot="1">
      <c r="B14" s="414"/>
      <c r="E14" s="127">
        <f t="shared" si="14"/>
        <v>8</v>
      </c>
      <c r="F14" s="308">
        <f>'Исходные данные'!B24</f>
        <v>0</v>
      </c>
      <c r="G14" s="308" t="str">
        <f>CONCATENATE('Исходные данные'!C24,'Исходные данные'!D24,'Исходные данные'!E24,'Исходные данные'!F24,"  ",'Исходные данные'!G24,"x",'Исходные данные'!H24,'Исходные данные'!I24,'Исходные данные'!J24,'Исходные данные'!K24, "-",'Исходные данные'!L24,'Исходные данные'!M24,'Исходные данные'!N24,'Исходные данные'!O24,'Исходные данные'!P24,'Исходные данные'!Q24,'Исходные данные'!R24)</f>
        <v xml:space="preserve">  x-----</v>
      </c>
      <c r="H14" s="176"/>
      <c r="I14" s="200" t="str">
        <f>IF('Исходные данные'!J24=1,"ВГ 199.01.00.001",IF('Исходные данные'!J24=2,"ВГ 199.01.00.008","---"))</f>
        <v>---</v>
      </c>
      <c r="J14" s="200" t="str">
        <f>IF('Исходные данные'!J24=1,"ВГ 199.01.00.002",IF('Исходные данные'!J24=2,"ВГ 199.01.00.007","---"))</f>
        <v>---</v>
      </c>
      <c r="K14" s="175" t="str">
        <f>CONCATENATE(I14,"----",'Исходные данные'!G24)</f>
        <v>-------</v>
      </c>
      <c r="L14" s="131" t="str">
        <f>CONCATENATE(J14,"----",'Исходные данные'!H24)</f>
        <v>-------</v>
      </c>
      <c r="M14" s="131"/>
      <c r="N14" s="336"/>
      <c r="O14" s="337">
        <f>'Задание на ТРУМПФ'!M14</f>
        <v>0</v>
      </c>
      <c r="P14" s="338">
        <f>'Задание на ТРУМПФ'!N14</f>
        <v>0</v>
      </c>
      <c r="Q14" s="338">
        <f>'Задание на ТРУМПФ'!O14</f>
        <v>0</v>
      </c>
      <c r="R14" s="338">
        <f>'Задание на ТРУМПФ'!P14</f>
        <v>0</v>
      </c>
      <c r="S14" s="338" t="str">
        <f t="shared" si="0"/>
        <v>ОЦ</v>
      </c>
      <c r="T14" s="338">
        <f>'Исходные данные'!S24</f>
        <v>0</v>
      </c>
      <c r="U14" s="338">
        <f>'Задание на ТРУМПФ'!S14</f>
        <v>22</v>
      </c>
      <c r="V14" s="338">
        <f>'Задание на ТРУМПФ'!T14</f>
        <v>22</v>
      </c>
      <c r="W14" s="338">
        <f t="shared" si="1"/>
        <v>0</v>
      </c>
      <c r="X14" s="338" t="str">
        <f t="shared" si="2"/>
        <v>ОЦ</v>
      </c>
      <c r="Y14" s="338">
        <f>'Задание на ТРУМПФ'!W14</f>
        <v>-3</v>
      </c>
      <c r="Z14" s="338">
        <f t="shared" si="3"/>
        <v>0</v>
      </c>
      <c r="AA14" s="338">
        <f>'Задание на ТРУМПФ'!Y14</f>
        <v>-3</v>
      </c>
      <c r="AB14" s="338">
        <f t="shared" si="4"/>
        <v>0</v>
      </c>
      <c r="AC14" s="338">
        <f>IF('Исходные данные'!H24&lt;399,30,IF('Исходные данные'!H24&lt;401,95,IF('Исходные данные'!H24&gt;=450,135,0)))</f>
        <v>30</v>
      </c>
      <c r="AD14" s="338">
        <f>'Задание на ТРУМПФ'!AA14</f>
        <v>0</v>
      </c>
      <c r="AE14" s="338">
        <f>IF('Задание на гибку'!H24&lt;400,30,IF('Задание на гибку'!H24&lt;450,95,IF('Задание на гибку'!H24&lt;=1200,135,0)))</f>
        <v>30</v>
      </c>
      <c r="AF14" s="338">
        <f t="shared" si="5"/>
        <v>0</v>
      </c>
      <c r="AG14" s="339">
        <f>'Задание на ТРУМПФ'!AD14</f>
        <v>0</v>
      </c>
      <c r="AH14" s="339">
        <f t="shared" si="6"/>
        <v>0</v>
      </c>
      <c r="AI14" s="339">
        <f>IF('Задание на ТРУМПФ'!AF14&gt;0,'Задание на ТРУМПФ'!J14-1.5,0)</f>
        <v>0</v>
      </c>
      <c r="AJ14" s="339">
        <f>'Задание на ТРУМПФ'!AG14</f>
        <v>0</v>
      </c>
      <c r="AK14" s="339" t="str">
        <f>Сетка!B24</f>
        <v>---</v>
      </c>
      <c r="AL14" s="339" t="str">
        <f t="shared" si="7"/>
        <v>0х0</v>
      </c>
      <c r="AM14" s="339">
        <f t="shared" si="8"/>
        <v>0</v>
      </c>
      <c r="AN14" s="339">
        <f>МРП!F24</f>
        <v>0</v>
      </c>
      <c r="AO14" s="339">
        <f>МРП!B24</f>
        <v>0</v>
      </c>
      <c r="AP14" s="339">
        <f>МРП!C24*2</f>
        <v>0</v>
      </c>
      <c r="AQ14" s="339">
        <f>МРП!D24</f>
        <v>0</v>
      </c>
      <c r="AR14" s="309">
        <f>МРП!E24*2</f>
        <v>0</v>
      </c>
      <c r="AV14" s="292">
        <f>IF('Исходные данные'!J24=1,нормы!$F$5*'Задание на гибку'!T14*2,IF('Исходные данные'!J24=2,нормы!$G$5*'Задание на гибку'!T14*2,0))</f>
        <v>0</v>
      </c>
      <c r="AW14" s="292">
        <f>IF('Исходные данные'!J24=1,нормы!$D$5*'Задание на гибку'!T14*2,IF('Исходные данные'!J24=2,нормы!$E$5*'Задание на гибку'!T14*2,0))</f>
        <v>0</v>
      </c>
      <c r="BB14">
        <f>IF(K14&gt;0,нормы!$E$5*'Задание на гибку'!W14,0)</f>
        <v>0</v>
      </c>
      <c r="BF14">
        <f>IF(K14&gt;0,нормы!$C$4*'Задание на гибку'!Z14,0)</f>
        <v>0</v>
      </c>
      <c r="BG14">
        <f>IF(K14&gt;0,нормы!$B$4*'Задание на гибку'!Z14,0)</f>
        <v>0</v>
      </c>
      <c r="BK14">
        <f>IF(K14&gt;0,нормы!$C$4*'Задание на гибку'!Z14*2,0)</f>
        <v>0</v>
      </c>
      <c r="BM14">
        <f>IF(K14&gt;0,нормы!$B$4*'Задание на гибку'!Z14*2,0)</f>
        <v>0</v>
      </c>
      <c r="BN14" s="277">
        <f>IF(AK14="решетка жалюзийная",4+('Исходные данные'!H24/52),0)</f>
        <v>0</v>
      </c>
      <c r="BO14">
        <f>IF(AK14="решетка жалюзийная",IF('Исходные данные'!H24&lt;=1000,('Исходные данные'!H24/50),IF('Исходные данные'!H24&gt;1000,('Исходные данные'!H24/50)*2,0)),0)</f>
        <v>0</v>
      </c>
      <c r="BP14">
        <f>IF(AK14="решетка жалюзийная",нормы!$E$5+'Задание на гибку'!BO14*нормы!$B$5,0)</f>
        <v>0</v>
      </c>
      <c r="BQ14">
        <f t="shared" si="9"/>
        <v>0</v>
      </c>
      <c r="BR14">
        <f>IF(AN14="МРП",нормы!$C$5*'Задание на гибку'!AP14*4,IF(AN14="МРЗ",нормы!$C$5*'Задание на гибку'!AP14*2,0))</f>
        <v>0</v>
      </c>
      <c r="BW14">
        <f t="shared" si="10"/>
        <v>0</v>
      </c>
      <c r="BX14">
        <f t="shared" si="11"/>
        <v>0</v>
      </c>
      <c r="BY14">
        <f t="shared" si="12"/>
        <v>0</v>
      </c>
      <c r="BZ14">
        <f t="shared" si="13"/>
        <v>0</v>
      </c>
      <c r="CA14">
        <f>AJ14*нормы!$E$5</f>
        <v>0</v>
      </c>
    </row>
    <row r="15" spans="2:79" ht="33" customHeight="1" thickBot="1">
      <c r="B15" s="414"/>
      <c r="E15" s="127">
        <f t="shared" si="14"/>
        <v>9</v>
      </c>
      <c r="F15" s="308">
        <f>'Исходные данные'!B25</f>
        <v>0</v>
      </c>
      <c r="G15" s="308" t="str">
        <f>CONCATENATE('Исходные данные'!C25,'Исходные данные'!D25,'Исходные данные'!E25,'Исходные данные'!F25,"  ",'Исходные данные'!G25,"x",'Исходные данные'!H25,'Исходные данные'!I25,'Исходные данные'!J25,'Исходные данные'!K25, "-",'Исходные данные'!L25,'Исходные данные'!M25,'Исходные данные'!N25,'Исходные данные'!O25,'Исходные данные'!P25,'Исходные данные'!Q25,'Исходные данные'!R25)</f>
        <v xml:space="preserve">  x-----</v>
      </c>
      <c r="H15" s="176"/>
      <c r="I15" s="200" t="str">
        <f>IF('Исходные данные'!J25=1,"ВГ 199.01.00.001",IF('Исходные данные'!J25=2,"ВГ 199.01.00.008","---"))</f>
        <v>---</v>
      </c>
      <c r="J15" s="200" t="str">
        <f>IF('Исходные данные'!J25=1,"ВГ 199.01.00.002",IF('Исходные данные'!J25=2,"ВГ 199.01.00.007","---"))</f>
        <v>---</v>
      </c>
      <c r="K15" s="175" t="str">
        <f>CONCATENATE(I15,"----",'Исходные данные'!G25)</f>
        <v>-------</v>
      </c>
      <c r="L15" s="131" t="str">
        <f>CONCATENATE(J15,"----",'Исходные данные'!H25)</f>
        <v>-------</v>
      </c>
      <c r="M15" s="131"/>
      <c r="N15" s="336"/>
      <c r="O15" s="337">
        <f>'Задание на ТРУМПФ'!M15</f>
        <v>0</v>
      </c>
      <c r="P15" s="338">
        <f>'Задание на ТРУМПФ'!N15</f>
        <v>0</v>
      </c>
      <c r="Q15" s="338">
        <f>'Задание на ТРУМПФ'!O15</f>
        <v>0</v>
      </c>
      <c r="R15" s="338">
        <f>'Задание на ТРУМПФ'!P15</f>
        <v>0</v>
      </c>
      <c r="S15" s="338" t="str">
        <f t="shared" si="0"/>
        <v>ОЦ</v>
      </c>
      <c r="T15" s="338">
        <f>'Исходные данные'!S25</f>
        <v>0</v>
      </c>
      <c r="U15" s="338">
        <f>'Задание на ТРУМПФ'!S15</f>
        <v>22</v>
      </c>
      <c r="V15" s="338">
        <f>'Задание на ТРУМПФ'!T15</f>
        <v>22</v>
      </c>
      <c r="W15" s="338">
        <f t="shared" si="1"/>
        <v>0</v>
      </c>
      <c r="X15" s="338" t="str">
        <f t="shared" si="2"/>
        <v>ОЦ</v>
      </c>
      <c r="Y15" s="338">
        <f>'Задание на ТРУМПФ'!W15</f>
        <v>-3</v>
      </c>
      <c r="Z15" s="338">
        <f t="shared" si="3"/>
        <v>0</v>
      </c>
      <c r="AA15" s="338">
        <f>'Задание на ТРУМПФ'!Y15</f>
        <v>-3</v>
      </c>
      <c r="AB15" s="338">
        <f t="shared" si="4"/>
        <v>0</v>
      </c>
      <c r="AC15" s="338">
        <f>IF('Исходные данные'!H25&lt;399,30,IF('Исходные данные'!H25&lt;401,95,IF('Исходные данные'!H25&gt;=450,135,0)))</f>
        <v>30</v>
      </c>
      <c r="AD15" s="338">
        <f>'Задание на ТРУМПФ'!AA15</f>
        <v>0</v>
      </c>
      <c r="AE15" s="338">
        <f>IF('Задание на гибку'!H25&lt;400,30,IF('Задание на гибку'!H25&lt;450,95,IF('Задание на гибку'!H25&lt;=1200,135,0)))</f>
        <v>30</v>
      </c>
      <c r="AF15" s="338">
        <f t="shared" si="5"/>
        <v>0</v>
      </c>
      <c r="AG15" s="339">
        <f>'Задание на ТРУМПФ'!AD15</f>
        <v>0</v>
      </c>
      <c r="AH15" s="339">
        <f t="shared" si="6"/>
        <v>0</v>
      </c>
      <c r="AI15" s="339">
        <f>IF('Задание на ТРУМПФ'!AF15&gt;0,'Задание на ТРУМПФ'!J15-1.5,0)</f>
        <v>0</v>
      </c>
      <c r="AJ15" s="339">
        <f>'Задание на ТРУМПФ'!AG15</f>
        <v>0</v>
      </c>
      <c r="AK15" s="339" t="str">
        <f>Сетка!B25</f>
        <v>---</v>
      </c>
      <c r="AL15" s="339" t="str">
        <f t="shared" si="7"/>
        <v>0х0</v>
      </c>
      <c r="AM15" s="339">
        <f t="shared" si="8"/>
        <v>0</v>
      </c>
      <c r="AN15" s="339">
        <f>МРП!F25</f>
        <v>0</v>
      </c>
      <c r="AO15" s="339">
        <f>МРП!B25</f>
        <v>0</v>
      </c>
      <c r="AP15" s="339">
        <f>МРП!C25*2</f>
        <v>0</v>
      </c>
      <c r="AQ15" s="339">
        <f>МРП!D25</f>
        <v>0</v>
      </c>
      <c r="AR15" s="309">
        <f>МРП!E25*2</f>
        <v>0</v>
      </c>
      <c r="AV15" s="292">
        <f>IF('Исходные данные'!J25=1,нормы!$F$5*'Задание на гибку'!T15*2,IF('Исходные данные'!J25=2,нормы!$G$5*'Задание на гибку'!T15*2,0))</f>
        <v>0</v>
      </c>
      <c r="AW15" s="292">
        <f>IF('Исходные данные'!J25=1,нормы!$D$5*'Задание на гибку'!T15*2,IF('Исходные данные'!J25=2,нормы!$E$5*'Задание на гибку'!T15*2,0))</f>
        <v>0</v>
      </c>
      <c r="BB15">
        <f>IF(K15&gt;0,нормы!$E$5*'Задание на гибку'!W15,0)</f>
        <v>0</v>
      </c>
      <c r="BF15">
        <f>IF(K15&gt;0,нормы!$C$4*'Задание на гибку'!Z15,0)</f>
        <v>0</v>
      </c>
      <c r="BG15">
        <f>IF(K15&gt;0,нормы!$B$4*'Задание на гибку'!Z15,0)</f>
        <v>0</v>
      </c>
      <c r="BK15">
        <f>IF(K15&gt;0,нормы!$C$4*'Задание на гибку'!Z15*2,0)</f>
        <v>0</v>
      </c>
      <c r="BM15">
        <f>IF(K15&gt;0,нормы!$B$4*'Задание на гибку'!Z15*2,0)</f>
        <v>0</v>
      </c>
      <c r="BN15" s="277">
        <f>IF(AK15="решетка жалюзийная",4+('Исходные данные'!H25/52),0)</f>
        <v>0</v>
      </c>
      <c r="BO15">
        <f>IF(AK15="решетка жалюзийная",IF('Исходные данные'!H25&lt;=1000,('Исходные данные'!H25/50),IF('Исходные данные'!H25&gt;1000,('Исходные данные'!H25/50)*2,0)),0)</f>
        <v>0</v>
      </c>
      <c r="BP15">
        <f>IF(AK15="решетка жалюзийная",нормы!$E$5+'Задание на гибку'!BO15*нормы!$B$5,0)</f>
        <v>0</v>
      </c>
      <c r="BQ15">
        <f t="shared" si="9"/>
        <v>0</v>
      </c>
      <c r="BR15">
        <f>IF(AN15="МРП",нормы!$C$5*'Задание на гибку'!AP15*4,IF(AN15="МРЗ",нормы!$C$5*'Задание на гибку'!AP15*2,0))</f>
        <v>0</v>
      </c>
      <c r="BW15">
        <f t="shared" si="10"/>
        <v>0</v>
      </c>
      <c r="BX15">
        <f t="shared" si="11"/>
        <v>0</v>
      </c>
      <c r="BY15">
        <f t="shared" si="12"/>
        <v>0</v>
      </c>
      <c r="BZ15">
        <f t="shared" si="13"/>
        <v>0</v>
      </c>
      <c r="CA15">
        <f>AJ15*нормы!$E$5</f>
        <v>0</v>
      </c>
    </row>
    <row r="16" spans="2:79" ht="33" customHeight="1" thickBot="1">
      <c r="B16" s="414"/>
      <c r="E16" s="127">
        <f t="shared" si="14"/>
        <v>10</v>
      </c>
      <c r="F16" s="308">
        <f>'Исходные данные'!B26</f>
        <v>0</v>
      </c>
      <c r="G16" s="308" t="str">
        <f>CONCATENATE('Исходные данные'!C26,'Исходные данные'!D26,'Исходные данные'!E26,'Исходные данные'!F26,"  ",'Исходные данные'!G26,"x",'Исходные данные'!H26,'Исходные данные'!I26,'Исходные данные'!J26,'Исходные данные'!K26, "-",'Исходные данные'!L26,'Исходные данные'!M26,'Исходные данные'!N26,'Исходные данные'!O26,'Исходные данные'!P26,'Исходные данные'!Q26,'Исходные данные'!R26)</f>
        <v xml:space="preserve">  x-----</v>
      </c>
      <c r="H16" s="176"/>
      <c r="I16" s="200" t="str">
        <f>IF('Исходные данные'!J26=1,"ВГ 199.01.00.001",IF('Исходные данные'!J26=2,"ВГ 199.01.00.008","---"))</f>
        <v>---</v>
      </c>
      <c r="J16" s="200" t="str">
        <f>IF('Исходные данные'!J26=1,"ВГ 199.01.00.002",IF('Исходные данные'!J26=2,"ВГ 199.01.00.007","---"))</f>
        <v>---</v>
      </c>
      <c r="K16" s="175" t="str">
        <f>CONCATENATE(I16,"----",'Исходные данные'!G26)</f>
        <v>-------</v>
      </c>
      <c r="L16" s="131" t="str">
        <f>CONCATENATE(J16,"----",'Исходные данные'!H26)</f>
        <v>-------</v>
      </c>
      <c r="M16" s="131"/>
      <c r="N16" s="336"/>
      <c r="O16" s="337">
        <f>'Задание на ТРУМПФ'!M16</f>
        <v>0</v>
      </c>
      <c r="P16" s="338">
        <f>'Задание на ТРУМПФ'!N16</f>
        <v>0</v>
      </c>
      <c r="Q16" s="338">
        <f>'Задание на ТРУМПФ'!O16</f>
        <v>0</v>
      </c>
      <c r="R16" s="338">
        <f>'Задание на ТРУМПФ'!P16</f>
        <v>0</v>
      </c>
      <c r="S16" s="338" t="str">
        <f t="shared" si="0"/>
        <v>ОЦ</v>
      </c>
      <c r="T16" s="338">
        <f>'Исходные данные'!S26</f>
        <v>0</v>
      </c>
      <c r="U16" s="338">
        <f>'Задание на ТРУМПФ'!S16</f>
        <v>22</v>
      </c>
      <c r="V16" s="338">
        <f>'Задание на ТРУМПФ'!T16</f>
        <v>22</v>
      </c>
      <c r="W16" s="338">
        <f t="shared" si="1"/>
        <v>0</v>
      </c>
      <c r="X16" s="338" t="str">
        <f t="shared" si="2"/>
        <v>ОЦ</v>
      </c>
      <c r="Y16" s="338">
        <f>'Задание на ТРУМПФ'!W16</f>
        <v>-3</v>
      </c>
      <c r="Z16" s="338">
        <f t="shared" si="3"/>
        <v>0</v>
      </c>
      <c r="AA16" s="338">
        <f>'Задание на ТРУМПФ'!Y16</f>
        <v>-3</v>
      </c>
      <c r="AB16" s="338">
        <f t="shared" si="4"/>
        <v>0</v>
      </c>
      <c r="AC16" s="338">
        <f>IF('Исходные данные'!H26&lt;399,30,IF('Исходные данные'!H26&lt;401,95,IF('Исходные данные'!H26&gt;=450,135,0)))</f>
        <v>30</v>
      </c>
      <c r="AD16" s="338">
        <f>'Задание на ТРУМПФ'!AA16</f>
        <v>0</v>
      </c>
      <c r="AE16" s="338">
        <f>IF('Задание на гибку'!H26&lt;400,30,IF('Задание на гибку'!H26&lt;450,95,IF('Задание на гибку'!H26&lt;=1200,135,0)))</f>
        <v>30</v>
      </c>
      <c r="AF16" s="338">
        <f t="shared" si="5"/>
        <v>0</v>
      </c>
      <c r="AG16" s="339">
        <f>'Задание на ТРУМПФ'!AD16</f>
        <v>0</v>
      </c>
      <c r="AH16" s="339">
        <f t="shared" si="6"/>
        <v>0</v>
      </c>
      <c r="AI16" s="339">
        <f>IF('Задание на ТРУМПФ'!AF16&gt;0,'Задание на ТРУМПФ'!J16-1.5,0)</f>
        <v>0</v>
      </c>
      <c r="AJ16" s="339">
        <f>'Задание на ТРУМПФ'!AG16</f>
        <v>0</v>
      </c>
      <c r="AK16" s="339" t="str">
        <f>Сетка!B26</f>
        <v>---</v>
      </c>
      <c r="AL16" s="339" t="str">
        <f t="shared" si="7"/>
        <v>0х0</v>
      </c>
      <c r="AM16" s="339">
        <f t="shared" si="8"/>
        <v>0</v>
      </c>
      <c r="AN16" s="339">
        <f>МРП!F26</f>
        <v>0</v>
      </c>
      <c r="AO16" s="339">
        <f>МРП!B26</f>
        <v>0</v>
      </c>
      <c r="AP16" s="339">
        <f>МРП!C26*2</f>
        <v>0</v>
      </c>
      <c r="AQ16" s="339">
        <f>МРП!D26</f>
        <v>0</v>
      </c>
      <c r="AR16" s="309">
        <f>МРП!E26*2</f>
        <v>0</v>
      </c>
      <c r="AV16" s="292">
        <f>IF('Исходные данные'!J26=1,нормы!$F$5*'Задание на гибку'!T16*2,IF('Исходные данные'!J26=2,нормы!$G$5*'Задание на гибку'!T16*2,0))</f>
        <v>0</v>
      </c>
      <c r="AW16" s="292">
        <f>IF('Исходные данные'!J26=1,нормы!$D$5*'Задание на гибку'!T16*2,IF('Исходные данные'!J26=2,нормы!$E$5*'Задание на гибку'!T16*2,0))</f>
        <v>0</v>
      </c>
      <c r="BB16">
        <f>IF(K16&gt;0,нормы!$E$5*'Задание на гибку'!W16,0)</f>
        <v>0</v>
      </c>
      <c r="BF16">
        <f>IF(K16&gt;0,нормы!$C$4*'Задание на гибку'!Z16,0)</f>
        <v>0</v>
      </c>
      <c r="BG16">
        <f>IF(K16&gt;0,нормы!$B$4*'Задание на гибку'!Z16,0)</f>
        <v>0</v>
      </c>
      <c r="BK16">
        <f>IF(K16&gt;0,нормы!$C$4*'Задание на гибку'!Z16*2,0)</f>
        <v>0</v>
      </c>
      <c r="BM16">
        <f>IF(K16&gt;0,нормы!$B$4*'Задание на гибку'!Z16*2,0)</f>
        <v>0</v>
      </c>
      <c r="BN16" s="277">
        <f>IF(AK16="решетка жалюзийная",4+('Исходные данные'!H26/52),0)</f>
        <v>0</v>
      </c>
      <c r="BO16">
        <f>IF(AK16="решетка жалюзийная",IF('Исходные данные'!H26&lt;=1000,('Исходные данные'!H26/50),IF('Исходные данные'!H26&gt;1000,('Исходные данные'!H26/50)*2,0)),0)</f>
        <v>0</v>
      </c>
      <c r="BP16">
        <f>IF(AK16="решетка жалюзийная",нормы!$E$5+'Задание на гибку'!BO16*нормы!$B$5,0)</f>
        <v>0</v>
      </c>
      <c r="BQ16">
        <f t="shared" si="9"/>
        <v>0</v>
      </c>
      <c r="BR16">
        <f>IF(AN16="МРП",нормы!$C$5*'Задание на гибку'!AP16*4,IF(AN16="МРЗ",нормы!$C$5*'Задание на гибку'!AP16*2,0))</f>
        <v>0</v>
      </c>
      <c r="BW16">
        <f t="shared" si="10"/>
        <v>0</v>
      </c>
      <c r="BX16">
        <f t="shared" si="11"/>
        <v>0</v>
      </c>
      <c r="BY16">
        <f t="shared" si="12"/>
        <v>0</v>
      </c>
      <c r="BZ16">
        <f t="shared" si="13"/>
        <v>0</v>
      </c>
      <c r="CA16">
        <f>AJ16*нормы!$E$5</f>
        <v>0</v>
      </c>
    </row>
    <row r="17" spans="1:79" ht="33" customHeight="1" thickBot="1">
      <c r="B17" s="414"/>
      <c r="C17" s="415" t="s">
        <v>161</v>
      </c>
      <c r="D17" s="416"/>
      <c r="E17" s="127">
        <f t="shared" si="14"/>
        <v>11</v>
      </c>
      <c r="F17" s="308">
        <f>'Исходные данные'!B27</f>
        <v>0</v>
      </c>
      <c r="G17" s="308" t="str">
        <f>CONCATENATE('Исходные данные'!C27,'Исходные данные'!D27,'Исходные данные'!E27,'Исходные данные'!F27,"  ",'Исходные данные'!G27,"x",'Исходные данные'!H27,'Исходные данные'!I27,'Исходные данные'!J27,'Исходные данные'!K27, "-",'Исходные данные'!L27,'Исходные данные'!M27,'Исходные данные'!N27,'Исходные данные'!O27,'Исходные данные'!P27,'Исходные данные'!Q27,'Исходные данные'!R27)</f>
        <v xml:space="preserve">  x-----</v>
      </c>
      <c r="H17" s="176"/>
      <c r="I17" s="200" t="str">
        <f>IF('Исходные данные'!J27=1,"ВГ 199.01.00.001",IF('Исходные данные'!J27=2,"ВГ 199.01.00.008","---"))</f>
        <v>---</v>
      </c>
      <c r="J17" s="200" t="str">
        <f>IF('Исходные данные'!J27=1,"ВГ 199.01.00.002",IF('Исходные данные'!J27=2,"ВГ 199.01.00.007","---"))</f>
        <v>---</v>
      </c>
      <c r="K17" s="175" t="str">
        <f>CONCATENATE(I17,"----",'Исходные данные'!G27)</f>
        <v>-------</v>
      </c>
      <c r="L17" s="131" t="str">
        <f>CONCATENATE(J17,"----",'Исходные данные'!H27)</f>
        <v>-------</v>
      </c>
      <c r="M17" s="131"/>
      <c r="N17" s="336"/>
      <c r="O17" s="337">
        <f>'Задание на ТРУМПФ'!M17</f>
        <v>0</v>
      </c>
      <c r="P17" s="338">
        <f>'Задание на ТРУМПФ'!N17</f>
        <v>0</v>
      </c>
      <c r="Q17" s="338">
        <f>'Задание на ТРУМПФ'!O17</f>
        <v>0</v>
      </c>
      <c r="R17" s="338">
        <f>'Задание на ТРУМПФ'!P17</f>
        <v>0</v>
      </c>
      <c r="S17" s="338" t="str">
        <f t="shared" si="0"/>
        <v>ОЦ</v>
      </c>
      <c r="T17" s="338">
        <f>'Исходные данные'!S27</f>
        <v>0</v>
      </c>
      <c r="U17" s="338">
        <f>'Задание на ТРУМПФ'!S17</f>
        <v>22</v>
      </c>
      <c r="V17" s="338">
        <f>'Задание на ТРУМПФ'!T17</f>
        <v>22</v>
      </c>
      <c r="W17" s="338">
        <f t="shared" si="1"/>
        <v>0</v>
      </c>
      <c r="X17" s="338" t="str">
        <f t="shared" si="2"/>
        <v>ОЦ</v>
      </c>
      <c r="Y17" s="338">
        <f>'Задание на ТРУМПФ'!W17</f>
        <v>-3</v>
      </c>
      <c r="Z17" s="338">
        <f t="shared" si="3"/>
        <v>0</v>
      </c>
      <c r="AA17" s="338">
        <f>'Задание на ТРУМПФ'!Y17</f>
        <v>-3</v>
      </c>
      <c r="AB17" s="338">
        <f t="shared" si="4"/>
        <v>0</v>
      </c>
      <c r="AC17" s="338">
        <f>IF('Исходные данные'!H27&lt;399,30,IF('Исходные данные'!H27&lt;401,95,IF('Исходные данные'!H27&gt;=450,135,0)))</f>
        <v>30</v>
      </c>
      <c r="AD17" s="338">
        <f>'Задание на ТРУМПФ'!AA17</f>
        <v>0</v>
      </c>
      <c r="AE17" s="338">
        <f>IF('Задание на гибку'!H27&lt;400,30,IF('Задание на гибку'!H27&lt;450,95,IF('Задание на гибку'!H27&lt;=1200,135,0)))</f>
        <v>30</v>
      </c>
      <c r="AF17" s="338">
        <f t="shared" si="5"/>
        <v>0</v>
      </c>
      <c r="AG17" s="339">
        <f>'Задание на ТРУМПФ'!AD17</f>
        <v>0</v>
      </c>
      <c r="AH17" s="339">
        <f t="shared" si="6"/>
        <v>0</v>
      </c>
      <c r="AI17" s="339">
        <f>IF('Задание на ТРУМПФ'!AF17&gt;0,'Задание на ТРУМПФ'!J17-1.5,0)</f>
        <v>0</v>
      </c>
      <c r="AJ17" s="339">
        <f>'Задание на ТРУМПФ'!AG17</f>
        <v>0</v>
      </c>
      <c r="AK17" s="339" t="str">
        <f>Сетка!B27</f>
        <v>---</v>
      </c>
      <c r="AL17" s="339" t="str">
        <f t="shared" si="7"/>
        <v>0х0</v>
      </c>
      <c r="AM17" s="339">
        <f t="shared" si="8"/>
        <v>0</v>
      </c>
      <c r="AN17" s="339">
        <f>МРП!F27</f>
        <v>0</v>
      </c>
      <c r="AO17" s="339">
        <f>МРП!B27</f>
        <v>0</v>
      </c>
      <c r="AP17" s="339">
        <f>МРП!C27*2</f>
        <v>0</v>
      </c>
      <c r="AQ17" s="339">
        <f>МРП!D27</f>
        <v>0</v>
      </c>
      <c r="AR17" s="309">
        <f>МРП!E27*2</f>
        <v>0</v>
      </c>
      <c r="AV17" s="292">
        <f>IF('Исходные данные'!J27=1,нормы!$F$5*'Задание на гибку'!T17*2,IF('Исходные данные'!J27=2,нормы!$G$5*'Задание на гибку'!T17*2,0))</f>
        <v>0</v>
      </c>
      <c r="AW17" s="292">
        <f>IF('Исходные данные'!J27=1,нормы!$D$5*'Задание на гибку'!T17*2,IF('Исходные данные'!J27=2,нормы!$E$5*'Задание на гибку'!T17*2,0))</f>
        <v>0</v>
      </c>
      <c r="BB17">
        <f>IF(K17&gt;0,нормы!$E$5*'Задание на гибку'!W17,0)</f>
        <v>0</v>
      </c>
      <c r="BF17">
        <f>IF(K17&gt;0,нормы!$C$4*'Задание на гибку'!Z17,0)</f>
        <v>0</v>
      </c>
      <c r="BG17">
        <f>IF(K17&gt;0,нормы!$B$4*'Задание на гибку'!Z17,0)</f>
        <v>0</v>
      </c>
      <c r="BK17">
        <f>IF(K17&gt;0,нормы!$C$4*'Задание на гибку'!Z17*2,0)</f>
        <v>0</v>
      </c>
      <c r="BM17">
        <f>IF(K17&gt;0,нормы!$B$4*'Задание на гибку'!Z17*2,0)</f>
        <v>0</v>
      </c>
      <c r="BN17" s="277">
        <f>IF(AK17="решетка жалюзийная",4+('Исходные данные'!H27/52),0)</f>
        <v>0</v>
      </c>
      <c r="BO17">
        <f>IF(AK17="решетка жалюзийная",IF('Исходные данные'!H27&lt;=1000,('Исходные данные'!H27/50),IF('Исходные данные'!H27&gt;1000,('Исходные данные'!H27/50)*2,0)),0)</f>
        <v>0</v>
      </c>
      <c r="BP17">
        <f>IF(AK17="решетка жалюзийная",нормы!$E$5+'Задание на гибку'!BO17*нормы!$B$5,0)</f>
        <v>0</v>
      </c>
      <c r="BQ17">
        <f t="shared" si="9"/>
        <v>0</v>
      </c>
      <c r="BR17">
        <f>IF(AN17="МРП",нормы!$C$5*'Задание на гибку'!AP17*4,IF(AN17="МРЗ",нормы!$C$5*'Задание на гибку'!AP17*2,0))</f>
        <v>0</v>
      </c>
      <c r="BW17">
        <f t="shared" si="10"/>
        <v>0</v>
      </c>
      <c r="BX17">
        <f t="shared" si="11"/>
        <v>0</v>
      </c>
      <c r="BY17">
        <f t="shared" si="12"/>
        <v>0</v>
      </c>
      <c r="BZ17">
        <f t="shared" si="13"/>
        <v>0</v>
      </c>
      <c r="CA17">
        <f>AJ17*нормы!$E$5</f>
        <v>0</v>
      </c>
    </row>
    <row r="18" spans="1:79" ht="33" customHeight="1" thickBot="1">
      <c r="B18" s="414"/>
      <c r="C18" s="415"/>
      <c r="D18" s="416"/>
      <c r="E18" s="127">
        <f t="shared" si="14"/>
        <v>12</v>
      </c>
      <c r="F18" s="308">
        <f>'Исходные данные'!B28</f>
        <v>0</v>
      </c>
      <c r="G18" s="308" t="str">
        <f>CONCATENATE('Исходные данные'!C28,'Исходные данные'!D28,'Исходные данные'!E28,'Исходные данные'!F28,"  ",'Исходные данные'!G28,"x",'Исходные данные'!H28,'Исходные данные'!I28,'Исходные данные'!J28,'Исходные данные'!K28, "-",'Исходные данные'!L28,'Исходные данные'!M28,'Исходные данные'!N28,'Исходные данные'!O28,'Исходные данные'!P28,'Исходные данные'!Q28,'Исходные данные'!R28)</f>
        <v xml:space="preserve">  x-----</v>
      </c>
      <c r="H18" s="176"/>
      <c r="I18" s="200" t="str">
        <f>IF('Исходные данные'!J28=1,"ВГ 199.01.00.001",IF('Исходные данные'!J28=2,"ВГ 199.01.00.008","---"))</f>
        <v>---</v>
      </c>
      <c r="J18" s="200" t="str">
        <f>IF('Исходные данные'!J28=1,"ВГ 199.01.00.002",IF('Исходные данные'!J28=2,"ВГ 199.01.00.007","---"))</f>
        <v>---</v>
      </c>
      <c r="K18" s="175" t="str">
        <f>CONCATENATE(I18,"----",'Исходные данные'!G28)</f>
        <v>-------</v>
      </c>
      <c r="L18" s="131" t="str">
        <f>CONCATENATE(J18,"----",'Исходные данные'!H28)</f>
        <v>-------</v>
      </c>
      <c r="M18" s="131"/>
      <c r="N18" s="336"/>
      <c r="O18" s="337">
        <f>'Задание на ТРУМПФ'!M18</f>
        <v>0</v>
      </c>
      <c r="P18" s="338">
        <f>'Задание на ТРУМПФ'!N18</f>
        <v>0</v>
      </c>
      <c r="Q18" s="338">
        <f>'Задание на ТРУМПФ'!O18</f>
        <v>0</v>
      </c>
      <c r="R18" s="338">
        <f>'Задание на ТРУМПФ'!P18</f>
        <v>0</v>
      </c>
      <c r="S18" s="338" t="str">
        <f t="shared" si="0"/>
        <v>ОЦ</v>
      </c>
      <c r="T18" s="338">
        <f>'Исходные данные'!S28</f>
        <v>0</v>
      </c>
      <c r="U18" s="338">
        <f>'Задание на ТРУМПФ'!S18</f>
        <v>22</v>
      </c>
      <c r="V18" s="338">
        <f>'Задание на ТРУМПФ'!T18</f>
        <v>22</v>
      </c>
      <c r="W18" s="338">
        <f t="shared" si="1"/>
        <v>0</v>
      </c>
      <c r="X18" s="338" t="str">
        <f t="shared" si="2"/>
        <v>ОЦ</v>
      </c>
      <c r="Y18" s="338">
        <f>'Задание на ТРУМПФ'!W18</f>
        <v>-3</v>
      </c>
      <c r="Z18" s="338">
        <f t="shared" si="3"/>
        <v>0</v>
      </c>
      <c r="AA18" s="338">
        <f>'Задание на ТРУМПФ'!Y18</f>
        <v>-3</v>
      </c>
      <c r="AB18" s="338">
        <f t="shared" si="4"/>
        <v>0</v>
      </c>
      <c r="AC18" s="338">
        <f>IF('Исходные данные'!H28&lt;399,30,IF('Исходные данные'!H28&lt;401,95,IF('Исходные данные'!H28&gt;=450,135,0)))</f>
        <v>30</v>
      </c>
      <c r="AD18" s="338">
        <f>'Задание на ТРУМПФ'!AA18</f>
        <v>0</v>
      </c>
      <c r="AE18" s="338">
        <f>IF('Задание на гибку'!H28&lt;400,30,IF('Задание на гибку'!H28&lt;450,95,IF('Задание на гибку'!H28&lt;=1200,135,0)))</f>
        <v>30</v>
      </c>
      <c r="AF18" s="338">
        <f t="shared" si="5"/>
        <v>0</v>
      </c>
      <c r="AG18" s="339">
        <f>'Задание на ТРУМПФ'!AD18</f>
        <v>0</v>
      </c>
      <c r="AH18" s="339">
        <f t="shared" si="6"/>
        <v>0</v>
      </c>
      <c r="AI18" s="339">
        <f>IF('Задание на ТРУМПФ'!AF18&gt;0,'Задание на ТРУМПФ'!J18-1.5,0)</f>
        <v>0</v>
      </c>
      <c r="AJ18" s="339">
        <f>'Задание на ТРУМПФ'!AG18</f>
        <v>0</v>
      </c>
      <c r="AK18" s="339" t="str">
        <f>Сетка!B28</f>
        <v>---</v>
      </c>
      <c r="AL18" s="339" t="str">
        <f t="shared" si="7"/>
        <v>0х0</v>
      </c>
      <c r="AM18" s="339">
        <f t="shared" si="8"/>
        <v>0</v>
      </c>
      <c r="AN18" s="339">
        <f>МРП!F28</f>
        <v>0</v>
      </c>
      <c r="AO18" s="339">
        <f>МРП!B28</f>
        <v>0</v>
      </c>
      <c r="AP18" s="339">
        <f>МРП!C28*2</f>
        <v>0</v>
      </c>
      <c r="AQ18" s="339">
        <f>МРП!D28</f>
        <v>0</v>
      </c>
      <c r="AR18" s="309">
        <f>МРП!E28*2</f>
        <v>0</v>
      </c>
      <c r="AV18" s="292">
        <f>IF('Исходные данные'!J28=1,нормы!$F$5*'Задание на гибку'!T18*2,IF('Исходные данные'!J28=2,нормы!$G$5*'Задание на гибку'!T18*2,0))</f>
        <v>0</v>
      </c>
      <c r="AW18" s="292">
        <f>IF('Исходные данные'!J28=1,нормы!$D$5*'Задание на гибку'!T18*2,IF('Исходные данные'!J28=2,нормы!$E$5*'Задание на гибку'!T18*2,0))</f>
        <v>0</v>
      </c>
      <c r="BB18">
        <f>IF(K18&gt;0,нормы!$E$5*'Задание на гибку'!W18,0)</f>
        <v>0</v>
      </c>
      <c r="BF18">
        <f>IF(K18&gt;0,нормы!$C$4*'Задание на гибку'!Z18,0)</f>
        <v>0</v>
      </c>
      <c r="BG18">
        <f>IF(K18&gt;0,нормы!$B$4*'Задание на гибку'!Z18,0)</f>
        <v>0</v>
      </c>
      <c r="BK18">
        <f>IF(K18&gt;0,нормы!$C$4*'Задание на гибку'!Z18*2,0)</f>
        <v>0</v>
      </c>
      <c r="BM18">
        <f>IF(K18&gt;0,нормы!$B$4*'Задание на гибку'!Z18*2,0)</f>
        <v>0</v>
      </c>
      <c r="BN18" s="277">
        <f>IF(AK18="решетка жалюзийная",4+('Исходные данные'!H28/52),0)</f>
        <v>0</v>
      </c>
      <c r="BO18">
        <f>IF(AK18="решетка жалюзийная",IF('Исходные данные'!H28&lt;=1000,('Исходные данные'!H28/50),IF('Исходные данные'!H28&gt;1000,('Исходные данные'!H28/50)*2,0)),0)</f>
        <v>0</v>
      </c>
      <c r="BP18">
        <f>IF(AK18="решетка жалюзийная",нормы!$E$5+'Задание на гибку'!BO18*нормы!$B$5,0)</f>
        <v>0</v>
      </c>
      <c r="BQ18">
        <f t="shared" si="9"/>
        <v>0</v>
      </c>
      <c r="BR18">
        <f>IF(AN18="МРП",нормы!$C$5*'Задание на гибку'!AP18*4,IF(AN18="МРЗ",нормы!$C$5*'Задание на гибку'!AP18*2,0))</f>
        <v>0</v>
      </c>
      <c r="BW18">
        <f t="shared" si="10"/>
        <v>0</v>
      </c>
      <c r="BX18">
        <f t="shared" si="11"/>
        <v>0</v>
      </c>
      <c r="BY18">
        <f t="shared" si="12"/>
        <v>0</v>
      </c>
      <c r="BZ18">
        <f t="shared" si="13"/>
        <v>0</v>
      </c>
      <c r="CA18">
        <f>AJ18*нормы!$E$5</f>
        <v>0</v>
      </c>
    </row>
    <row r="19" spans="1:79" ht="33" customHeight="1" thickBot="1">
      <c r="B19" s="414"/>
      <c r="C19" s="415"/>
      <c r="D19" s="416"/>
      <c r="E19" s="127">
        <f t="shared" si="14"/>
        <v>13</v>
      </c>
      <c r="F19" s="308">
        <f>'Исходные данные'!B29</f>
        <v>0</v>
      </c>
      <c r="G19" s="308" t="str">
        <f>CONCATENATE('Исходные данные'!C29,'Исходные данные'!D29,'Исходные данные'!E29,'Исходные данные'!F29,"  ",'Исходные данные'!G29,"x",'Исходные данные'!H29,'Исходные данные'!I29,'Исходные данные'!J29,'Исходные данные'!K29, "-",'Исходные данные'!L29,'Исходные данные'!M29,'Исходные данные'!N29,'Исходные данные'!O29,'Исходные данные'!P29,'Исходные данные'!Q29,'Исходные данные'!R29)</f>
        <v xml:space="preserve">  x-----</v>
      </c>
      <c r="H19" s="176"/>
      <c r="I19" s="200" t="str">
        <f>IF('Исходные данные'!J29=1,"ВГ 199.01.00.001",IF('Исходные данные'!J29=2,"ВГ 199.01.00.008","---"))</f>
        <v>---</v>
      </c>
      <c r="J19" s="200" t="str">
        <f>IF('Исходные данные'!J29=1,"ВГ 199.01.00.002",IF('Исходные данные'!J29=2,"ВГ 199.01.00.007","---"))</f>
        <v>---</v>
      </c>
      <c r="K19" s="175" t="str">
        <f>CONCATENATE(I19,"----",'Исходные данные'!G29)</f>
        <v>-------</v>
      </c>
      <c r="L19" s="131" t="str">
        <f>CONCATENATE(J19,"----",'Исходные данные'!H29)</f>
        <v>-------</v>
      </c>
      <c r="M19" s="131"/>
      <c r="N19" s="336"/>
      <c r="O19" s="337">
        <f>'Задание на ТРУМПФ'!M19</f>
        <v>0</v>
      </c>
      <c r="P19" s="338">
        <f>'Задание на ТРУМПФ'!N19</f>
        <v>0</v>
      </c>
      <c r="Q19" s="338">
        <f>'Задание на ТРУМПФ'!O19</f>
        <v>0</v>
      </c>
      <c r="R19" s="338">
        <f>'Задание на ТРУМПФ'!P19</f>
        <v>0</v>
      </c>
      <c r="S19" s="338" t="str">
        <f t="shared" si="0"/>
        <v>ОЦ</v>
      </c>
      <c r="T19" s="338">
        <f>'Исходные данные'!S29</f>
        <v>0</v>
      </c>
      <c r="U19" s="338">
        <f>'Задание на ТРУМПФ'!S19</f>
        <v>22</v>
      </c>
      <c r="V19" s="338">
        <f>'Задание на ТРУМПФ'!T19</f>
        <v>22</v>
      </c>
      <c r="W19" s="338">
        <f t="shared" si="1"/>
        <v>0</v>
      </c>
      <c r="X19" s="338" t="str">
        <f t="shared" si="2"/>
        <v>ОЦ</v>
      </c>
      <c r="Y19" s="338">
        <f>'Задание на ТРУМПФ'!W19</f>
        <v>-3</v>
      </c>
      <c r="Z19" s="338">
        <f t="shared" si="3"/>
        <v>0</v>
      </c>
      <c r="AA19" s="338">
        <f>'Задание на ТРУМПФ'!Y19</f>
        <v>-3</v>
      </c>
      <c r="AB19" s="338">
        <f t="shared" si="4"/>
        <v>0</v>
      </c>
      <c r="AC19" s="338">
        <f>IF('Исходные данные'!H29&lt;399,30,IF('Исходные данные'!H29&lt;401,95,IF('Исходные данные'!H29&gt;=450,135,0)))</f>
        <v>30</v>
      </c>
      <c r="AD19" s="338">
        <f>'Задание на ТРУМПФ'!AA19</f>
        <v>0</v>
      </c>
      <c r="AE19" s="338">
        <f>IF('Задание на гибку'!H29&lt;400,30,IF('Задание на гибку'!H29&lt;450,95,IF('Задание на гибку'!H29&lt;=1200,135,0)))</f>
        <v>30</v>
      </c>
      <c r="AF19" s="338">
        <f t="shared" si="5"/>
        <v>0</v>
      </c>
      <c r="AG19" s="339">
        <f>'Задание на ТРУМПФ'!AD19</f>
        <v>0</v>
      </c>
      <c r="AH19" s="339">
        <f t="shared" si="6"/>
        <v>0</v>
      </c>
      <c r="AI19" s="339">
        <f>IF('Задание на ТРУМПФ'!AF19&gt;0,'Задание на ТРУМПФ'!J19-1.5,0)</f>
        <v>0</v>
      </c>
      <c r="AJ19" s="339">
        <f>'Задание на ТРУМПФ'!AG19</f>
        <v>0</v>
      </c>
      <c r="AK19" s="339" t="str">
        <f>Сетка!B29</f>
        <v>---</v>
      </c>
      <c r="AL19" s="339" t="str">
        <f t="shared" si="7"/>
        <v>0х0</v>
      </c>
      <c r="AM19" s="339">
        <f t="shared" si="8"/>
        <v>0</v>
      </c>
      <c r="AN19" s="339">
        <f>МРП!F29</f>
        <v>0</v>
      </c>
      <c r="AO19" s="339">
        <f>МРП!B29</f>
        <v>0</v>
      </c>
      <c r="AP19" s="339">
        <f>МРП!C29*2</f>
        <v>0</v>
      </c>
      <c r="AQ19" s="339">
        <f>МРП!D29</f>
        <v>0</v>
      </c>
      <c r="AR19" s="309">
        <f>МРП!E29*2</f>
        <v>0</v>
      </c>
      <c r="AV19" s="292">
        <f>IF('Исходные данные'!J29=1,нормы!$F$5*'Задание на гибку'!T19*2,IF('Исходные данные'!J29=2,нормы!$G$5*'Задание на гибку'!T19*2,0))</f>
        <v>0</v>
      </c>
      <c r="AW19" s="292">
        <f>IF('Исходные данные'!J29=1,нормы!$D$5*'Задание на гибку'!T19*2,IF('Исходные данные'!J29=2,нормы!$E$5*'Задание на гибку'!T19*2,0))</f>
        <v>0</v>
      </c>
      <c r="BB19">
        <f>IF(K19&gt;0,нормы!$E$5*'Задание на гибку'!W19,0)</f>
        <v>0</v>
      </c>
      <c r="BF19">
        <f>IF(K19&gt;0,нормы!$C$4*'Задание на гибку'!Z19,0)</f>
        <v>0</v>
      </c>
      <c r="BG19">
        <f>IF(K19&gt;0,нормы!$B$4*'Задание на гибку'!Z19,0)</f>
        <v>0</v>
      </c>
      <c r="BK19">
        <f>IF(K19&gt;0,нормы!$C$4*'Задание на гибку'!Z19*2,0)</f>
        <v>0</v>
      </c>
      <c r="BM19">
        <f>IF(K19&gt;0,нормы!$B$4*'Задание на гибку'!Z19*2,0)</f>
        <v>0</v>
      </c>
      <c r="BN19" s="277">
        <f>IF(AK19="решетка жалюзийная",4+('Исходные данные'!H29/52),0)</f>
        <v>0</v>
      </c>
      <c r="BO19">
        <f>IF(AK19="решетка жалюзийная",IF('Исходные данные'!H29&lt;=1000,('Исходные данные'!H29/50),IF('Исходные данные'!H29&gt;1000,('Исходные данные'!H29/50)*2,0)),0)</f>
        <v>0</v>
      </c>
      <c r="BP19">
        <f>IF(AK19="решетка жалюзийная",нормы!$E$5+'Задание на гибку'!BO19*нормы!$B$5,0)</f>
        <v>0</v>
      </c>
      <c r="BQ19">
        <f t="shared" si="9"/>
        <v>0</v>
      </c>
      <c r="BR19">
        <f>IF(AN19="МРП",нормы!$C$5*'Задание на гибку'!AP19*4,IF(AN19="МРЗ",нормы!$C$5*'Задание на гибку'!AP19*2,0))</f>
        <v>0</v>
      </c>
      <c r="BW19">
        <f t="shared" si="10"/>
        <v>0</v>
      </c>
      <c r="BX19">
        <f t="shared" si="11"/>
        <v>0</v>
      </c>
      <c r="BY19">
        <f t="shared" si="12"/>
        <v>0</v>
      </c>
      <c r="BZ19">
        <f t="shared" si="13"/>
        <v>0</v>
      </c>
      <c r="CA19">
        <f>AJ19*нормы!$E$5</f>
        <v>0</v>
      </c>
    </row>
    <row r="20" spans="1:79" ht="33" customHeight="1" thickBot="1">
      <c r="B20" s="414"/>
      <c r="C20" s="415"/>
      <c r="D20" s="416"/>
      <c r="E20" s="127">
        <f t="shared" si="14"/>
        <v>14</v>
      </c>
      <c r="F20" s="308">
        <f>'Исходные данные'!B30</f>
        <v>0</v>
      </c>
      <c r="G20" s="308" t="str">
        <f>CONCATENATE('Исходные данные'!C30,'Исходные данные'!D30,'Исходные данные'!E30,'Исходные данные'!F30,"  ",'Исходные данные'!G30,"x",'Исходные данные'!H30,'Исходные данные'!I30,'Исходные данные'!J30,'Исходные данные'!K30, "-",'Исходные данные'!L30,'Исходные данные'!M30,'Исходные данные'!N30,'Исходные данные'!O30,'Исходные данные'!P30,'Исходные данные'!Q30,'Исходные данные'!R30)</f>
        <v xml:space="preserve">  x-----</v>
      </c>
      <c r="H20" s="176"/>
      <c r="I20" s="200" t="str">
        <f>IF('Исходные данные'!J30=1,"ВГ 199.01.00.001",IF('Исходные данные'!J30=2,"ВГ 199.01.00.008","---"))</f>
        <v>---</v>
      </c>
      <c r="J20" s="200" t="str">
        <f>IF('Исходные данные'!J30=1,"ВГ 199.01.00.002",IF('Исходные данные'!J30=2,"ВГ 199.01.00.007","---"))</f>
        <v>---</v>
      </c>
      <c r="K20" s="175" t="str">
        <f>CONCATENATE(I20,"----",'Исходные данные'!G30)</f>
        <v>-------</v>
      </c>
      <c r="L20" s="131" t="str">
        <f>CONCATENATE(J20,"----",'Исходные данные'!H30)</f>
        <v>-------</v>
      </c>
      <c r="M20" s="131"/>
      <c r="N20" s="336"/>
      <c r="O20" s="337">
        <f>'Задание на ТРУМПФ'!M20</f>
        <v>0</v>
      </c>
      <c r="P20" s="338">
        <f>'Задание на ТРУМПФ'!N20</f>
        <v>0</v>
      </c>
      <c r="Q20" s="338">
        <f>'Задание на ТРУМПФ'!O20</f>
        <v>0</v>
      </c>
      <c r="R20" s="338">
        <f>'Задание на ТРУМПФ'!P20</f>
        <v>0</v>
      </c>
      <c r="S20" s="338" t="str">
        <f t="shared" si="0"/>
        <v>ОЦ</v>
      </c>
      <c r="T20" s="338">
        <f>'Исходные данные'!S30</f>
        <v>0</v>
      </c>
      <c r="U20" s="338">
        <f>'Задание на ТРУМПФ'!S20</f>
        <v>22</v>
      </c>
      <c r="V20" s="338">
        <f>'Задание на ТРУМПФ'!T20</f>
        <v>22</v>
      </c>
      <c r="W20" s="338">
        <f t="shared" si="1"/>
        <v>0</v>
      </c>
      <c r="X20" s="338" t="str">
        <f t="shared" si="2"/>
        <v>ОЦ</v>
      </c>
      <c r="Y20" s="338">
        <f>'Задание на ТРУМПФ'!W20</f>
        <v>-3</v>
      </c>
      <c r="Z20" s="338">
        <f t="shared" si="3"/>
        <v>0</v>
      </c>
      <c r="AA20" s="338">
        <f>'Задание на ТРУМПФ'!Y20</f>
        <v>-3</v>
      </c>
      <c r="AB20" s="338">
        <f t="shared" si="4"/>
        <v>0</v>
      </c>
      <c r="AC20" s="338">
        <f>IF('Исходные данные'!H30&lt;399,30,IF('Исходные данные'!H30&lt;401,95,IF('Исходные данные'!H30&gt;=450,135,0)))</f>
        <v>30</v>
      </c>
      <c r="AD20" s="338">
        <f>'Задание на ТРУМПФ'!AA20</f>
        <v>0</v>
      </c>
      <c r="AE20" s="338">
        <f>IF('Задание на гибку'!H30&lt;400,30,IF('Задание на гибку'!H30&lt;450,95,IF('Задание на гибку'!H30&lt;=1200,135,0)))</f>
        <v>30</v>
      </c>
      <c r="AF20" s="338">
        <f t="shared" si="5"/>
        <v>0</v>
      </c>
      <c r="AG20" s="339">
        <f>'Задание на ТРУМПФ'!AD20</f>
        <v>0</v>
      </c>
      <c r="AH20" s="339">
        <f t="shared" si="6"/>
        <v>0</v>
      </c>
      <c r="AI20" s="339">
        <f>IF('Задание на ТРУМПФ'!AF20&gt;0,'Задание на ТРУМПФ'!J20-1.5,0)</f>
        <v>0</v>
      </c>
      <c r="AJ20" s="339">
        <f>'Задание на ТРУМПФ'!AG20</f>
        <v>0</v>
      </c>
      <c r="AK20" s="339" t="str">
        <f>Сетка!B30</f>
        <v>---</v>
      </c>
      <c r="AL20" s="339" t="str">
        <f t="shared" si="7"/>
        <v>0х0</v>
      </c>
      <c r="AM20" s="339">
        <f t="shared" si="8"/>
        <v>0</v>
      </c>
      <c r="AN20" s="339">
        <f>МРП!F30</f>
        <v>0</v>
      </c>
      <c r="AO20" s="339">
        <f>МРП!B30</f>
        <v>0</v>
      </c>
      <c r="AP20" s="339">
        <f>МРП!C30*2</f>
        <v>0</v>
      </c>
      <c r="AQ20" s="339">
        <f>МРП!D30</f>
        <v>0</v>
      </c>
      <c r="AR20" s="309">
        <f>МРП!E30*2</f>
        <v>0</v>
      </c>
      <c r="AV20" s="292">
        <f>IF('Исходные данные'!J30=1,нормы!$F$5*'Задание на гибку'!T20*2,IF('Исходные данные'!J30=2,нормы!$G$5*'Задание на гибку'!T20*2,0))</f>
        <v>0</v>
      </c>
      <c r="AW20" s="292">
        <f>IF('Исходные данные'!J30=1,нормы!$D$5*'Задание на гибку'!T20*2,IF('Исходные данные'!J30=2,нормы!$E$5*'Задание на гибку'!T20*2,0))</f>
        <v>0</v>
      </c>
      <c r="BB20">
        <f>IF(K20&gt;0,нормы!$E$5*'Задание на гибку'!W20,0)</f>
        <v>0</v>
      </c>
      <c r="BF20">
        <f>IF(K20&gt;0,нормы!$C$4*'Задание на гибку'!Z20,0)</f>
        <v>0</v>
      </c>
      <c r="BG20">
        <f>IF(K20&gt;0,нормы!$B$4*'Задание на гибку'!Z20,0)</f>
        <v>0</v>
      </c>
      <c r="BK20">
        <f>IF(K20&gt;0,нормы!$C$4*'Задание на гибку'!Z20*2,0)</f>
        <v>0</v>
      </c>
      <c r="BM20">
        <f>IF(K20&gt;0,нормы!$B$4*'Задание на гибку'!Z20*2,0)</f>
        <v>0</v>
      </c>
      <c r="BN20" s="277">
        <f>IF(AK20="решетка жалюзийная",4+('Исходные данные'!H30/52),0)</f>
        <v>0</v>
      </c>
      <c r="BO20">
        <f>IF(AK20="решетка жалюзийная",IF('Исходные данные'!H30&lt;=1000,('Исходные данные'!H30/50),IF('Исходные данные'!H30&gt;1000,('Исходные данные'!H30/50)*2,0)),0)</f>
        <v>0</v>
      </c>
      <c r="BP20">
        <f>IF(AK20="решетка жалюзийная",нормы!$E$5+'Задание на гибку'!BO20*нормы!$B$5,0)</f>
        <v>0</v>
      </c>
      <c r="BQ20">
        <f t="shared" si="9"/>
        <v>0</v>
      </c>
      <c r="BR20">
        <f>IF(AN20="МРП",нормы!$C$5*'Задание на гибку'!AP20*4,IF(AN20="МРЗ",нормы!$C$5*'Задание на гибку'!AP20*2,0))</f>
        <v>0</v>
      </c>
      <c r="BW20">
        <f t="shared" si="10"/>
        <v>0</v>
      </c>
      <c r="BX20">
        <f t="shared" si="11"/>
        <v>0</v>
      </c>
      <c r="BY20">
        <f t="shared" si="12"/>
        <v>0</v>
      </c>
      <c r="BZ20">
        <f t="shared" si="13"/>
        <v>0</v>
      </c>
      <c r="CA20">
        <f>AJ20*нормы!$E$5</f>
        <v>0</v>
      </c>
    </row>
    <row r="21" spans="1:79" ht="33" customHeight="1">
      <c r="B21" s="414"/>
      <c r="C21" s="415"/>
      <c r="D21" s="416"/>
      <c r="E21" s="127">
        <f t="shared" si="14"/>
        <v>15</v>
      </c>
      <c r="F21" s="308">
        <f>'Исходные данные'!B31</f>
        <v>0</v>
      </c>
      <c r="G21" s="308" t="str">
        <f>CONCATENATE('Исходные данные'!C31,'Исходные данные'!D31,'Исходные данные'!E31,'Исходные данные'!F31,"  ",'Исходные данные'!G31,"x",'Исходные данные'!H31,'Исходные данные'!I31,'Исходные данные'!J31,'Исходные данные'!K31, "-",'Исходные данные'!L31,'Исходные данные'!M31,'Исходные данные'!N31,'Исходные данные'!O31,'Исходные данные'!P31,'Исходные данные'!Q31,'Исходные данные'!R31)</f>
        <v xml:space="preserve">  x-----</v>
      </c>
      <c r="H21" s="176"/>
      <c r="I21" s="200" t="str">
        <f>IF('Исходные данные'!J31=1,"ВГ 199.01.00.001",IF('Исходные данные'!J31=2,"ВГ 199.01.00.008","---"))</f>
        <v>---</v>
      </c>
      <c r="J21" s="200" t="str">
        <f>IF('Исходные данные'!J31=1,"ВГ 199.01.00.002",IF('Исходные данные'!J31=2,"ВГ 199.01.00.007","---"))</f>
        <v>---</v>
      </c>
      <c r="K21" s="175" t="str">
        <f>CONCATENATE(I21,"----",'Исходные данные'!G31)</f>
        <v>-------</v>
      </c>
      <c r="L21" s="131" t="str">
        <f>CONCATENATE(J21,"----",'Исходные данные'!H31)</f>
        <v>-------</v>
      </c>
      <c r="M21" s="131"/>
      <c r="N21" s="336"/>
      <c r="O21" s="337">
        <f>'Задание на ТРУМПФ'!M21</f>
        <v>0</v>
      </c>
      <c r="P21" s="338">
        <f>'Задание на ТРУМПФ'!N21</f>
        <v>0</v>
      </c>
      <c r="Q21" s="338">
        <f>'Задание на ТРУМПФ'!O21</f>
        <v>0</v>
      </c>
      <c r="R21" s="338">
        <f>'Задание на ТРУМПФ'!P21</f>
        <v>0</v>
      </c>
      <c r="S21" s="338" t="str">
        <f t="shared" si="0"/>
        <v>ОЦ</v>
      </c>
      <c r="T21" s="338">
        <f>'Исходные данные'!S31</f>
        <v>0</v>
      </c>
      <c r="U21" s="338">
        <f>'Задание на ТРУМПФ'!S21</f>
        <v>22</v>
      </c>
      <c r="V21" s="338">
        <f>'Задание на ТРУМПФ'!T21</f>
        <v>22</v>
      </c>
      <c r="W21" s="338">
        <f t="shared" si="1"/>
        <v>0</v>
      </c>
      <c r="X21" s="338" t="str">
        <f t="shared" si="2"/>
        <v>ОЦ</v>
      </c>
      <c r="Y21" s="338">
        <f>'Задание на ТРУМПФ'!W21</f>
        <v>-3</v>
      </c>
      <c r="Z21" s="338">
        <f t="shared" si="3"/>
        <v>0</v>
      </c>
      <c r="AA21" s="338">
        <f>'Задание на ТРУМПФ'!Y21</f>
        <v>-3</v>
      </c>
      <c r="AB21" s="338">
        <f t="shared" si="4"/>
        <v>0</v>
      </c>
      <c r="AC21" s="338">
        <f>IF('Исходные данные'!H31&lt;399,30,IF('Исходные данные'!H31&lt;401,95,IF('Исходные данные'!H31&gt;=450,135,0)))</f>
        <v>30</v>
      </c>
      <c r="AD21" s="338">
        <f>'Задание на ТРУМПФ'!AA21</f>
        <v>0</v>
      </c>
      <c r="AE21" s="338">
        <f>IF('Задание на гибку'!H31&lt;400,30,IF('Задание на гибку'!H31&lt;450,95,IF('Задание на гибку'!H31&lt;=1200,135,0)))</f>
        <v>30</v>
      </c>
      <c r="AF21" s="338">
        <f t="shared" si="5"/>
        <v>0</v>
      </c>
      <c r="AG21" s="339">
        <f>'Задание на ТРУМПФ'!AD21</f>
        <v>0</v>
      </c>
      <c r="AH21" s="339">
        <f t="shared" si="6"/>
        <v>0</v>
      </c>
      <c r="AI21" s="339">
        <f>IF('Задание на ТРУМПФ'!AF21&gt;0,'Задание на ТРУМПФ'!J21-1.5,0)</f>
        <v>0</v>
      </c>
      <c r="AJ21" s="339">
        <f>'Задание на ТРУМПФ'!AG21</f>
        <v>0</v>
      </c>
      <c r="AK21" s="339" t="str">
        <f>Сетка!B31</f>
        <v>---</v>
      </c>
      <c r="AL21" s="339" t="str">
        <f t="shared" si="7"/>
        <v>0х0</v>
      </c>
      <c r="AM21" s="339">
        <f t="shared" si="8"/>
        <v>0</v>
      </c>
      <c r="AN21" s="339">
        <f>МРП!F31</f>
        <v>0</v>
      </c>
      <c r="AO21" s="339">
        <f>МРП!B31</f>
        <v>0</v>
      </c>
      <c r="AP21" s="339">
        <f>МРП!C31*2</f>
        <v>0</v>
      </c>
      <c r="AQ21" s="339">
        <f>МРП!D31</f>
        <v>0</v>
      </c>
      <c r="AR21" s="309">
        <f>МРП!E31*2</f>
        <v>0</v>
      </c>
      <c r="AV21" s="292">
        <f>IF('Исходные данные'!J31=1,нормы!$F$5*'Задание на гибку'!T21*2,IF('Исходные данные'!J31=2,нормы!$G$5*'Задание на гибку'!T21*2,0))</f>
        <v>0</v>
      </c>
      <c r="AW21" s="292">
        <f>IF('Исходные данные'!J31=1,нормы!$D$5*'Задание на гибку'!T21*2,IF('Исходные данные'!J31=2,нормы!$E$5*'Задание на гибку'!T21*2,0))</f>
        <v>0</v>
      </c>
      <c r="BB21">
        <f>IF(K21&gt;0,нормы!$E$5*'Задание на гибку'!W21,0)</f>
        <v>0</v>
      </c>
      <c r="BF21">
        <f>IF(K21&gt;0,нормы!$C$4*'Задание на гибку'!Z21,0)</f>
        <v>0</v>
      </c>
      <c r="BG21">
        <f>IF(K21&gt;0,нормы!$B$4*'Задание на гибку'!Z21,0)</f>
        <v>0</v>
      </c>
      <c r="BK21">
        <f>IF(K21&gt;0,нормы!$C$4*'Задание на гибку'!Z21*2,0)</f>
        <v>0</v>
      </c>
      <c r="BM21">
        <f>IF(K21&gt;0,нормы!$B$4*'Задание на гибку'!Z21*2,0)</f>
        <v>0</v>
      </c>
      <c r="BN21" s="277">
        <f>IF(AK21="решетка жалюзийная",4+('Исходные данные'!H31/52),0)</f>
        <v>0</v>
      </c>
      <c r="BO21">
        <f>IF(AK21="решетка жалюзийная",IF('Исходные данные'!H31&lt;=1000,('Исходные данные'!H31/50),IF('Исходные данные'!H31&gt;1000,('Исходные данные'!H31/50)*2,0)),0)</f>
        <v>0</v>
      </c>
      <c r="BP21">
        <f>IF(AK21="решетка жалюзийная",нормы!$E$5+'Задание на гибку'!BO21*нормы!$B$5,0)</f>
        <v>0</v>
      </c>
      <c r="BQ21">
        <f t="shared" si="9"/>
        <v>0</v>
      </c>
      <c r="BR21">
        <f>IF(AN21="МРП",нормы!$C$5*'Задание на гибку'!AP21*4,IF(AN21="МРЗ",нормы!$C$5*'Задание на гибку'!AP21*2,0))</f>
        <v>0</v>
      </c>
      <c r="BW21">
        <f t="shared" si="10"/>
        <v>0</v>
      </c>
      <c r="BX21">
        <f t="shared" si="11"/>
        <v>0</v>
      </c>
      <c r="BY21">
        <f t="shared" si="12"/>
        <v>0</v>
      </c>
      <c r="BZ21">
        <f t="shared" si="13"/>
        <v>0</v>
      </c>
      <c r="CA21">
        <f>AJ21*нормы!$E$5</f>
        <v>0</v>
      </c>
    </row>
    <row r="22" spans="1:79" ht="18.75" hidden="1">
      <c r="B22" s="414"/>
      <c r="C22" s="415"/>
      <c r="D22" s="416"/>
      <c r="E22" s="127">
        <f t="shared" si="14"/>
        <v>16</v>
      </c>
      <c r="F22" s="4"/>
      <c r="G22" s="4"/>
      <c r="H22" s="4"/>
      <c r="I22" s="201"/>
      <c r="J22" s="201"/>
      <c r="K22" s="128"/>
      <c r="L22" s="129"/>
      <c r="M22" s="129"/>
      <c r="N22" s="129"/>
      <c r="O22" s="129"/>
      <c r="P22" s="129"/>
      <c r="Q22" s="129"/>
      <c r="R22" s="129"/>
      <c r="S22" s="129"/>
      <c r="T22" s="130"/>
      <c r="U22" s="129"/>
      <c r="V22" s="129"/>
      <c r="W22" s="129"/>
      <c r="X22" s="129"/>
      <c r="Y22" s="129"/>
      <c r="Z22" s="171">
        <f t="shared" ref="Z22:Z27" si="15">W22</f>
        <v>0</v>
      </c>
      <c r="AA22" s="170">
        <f t="shared" ref="AA22:AA27" si="16">K22-3</f>
        <v>-3</v>
      </c>
      <c r="AB22" s="132"/>
      <c r="AC22" s="132"/>
      <c r="AD22" s="132"/>
      <c r="AE22" s="132"/>
      <c r="AF22" s="133"/>
      <c r="AG22" s="133"/>
      <c r="AH22" s="133"/>
      <c r="AI22" s="133"/>
      <c r="AJ22" s="133"/>
      <c r="AK22" s="133"/>
      <c r="AL22" s="133"/>
      <c r="AM22" s="133"/>
      <c r="AN22" s="108"/>
      <c r="AO22" s="183"/>
      <c r="BY22">
        <f t="shared" ref="BY22:BY27" si="17">IF(O22&gt;0,0.024*T23,0)</f>
        <v>0</v>
      </c>
      <c r="CA22">
        <f>AJ22*нормы!$E$5</f>
        <v>0</v>
      </c>
    </row>
    <row r="23" spans="1:79" ht="18.75" hidden="1">
      <c r="B23" s="414"/>
      <c r="C23" s="415"/>
      <c r="D23" s="416"/>
      <c r="E23" s="127">
        <f t="shared" si="14"/>
        <v>17</v>
      </c>
      <c r="F23" s="4"/>
      <c r="G23" s="4"/>
      <c r="H23" s="4"/>
      <c r="I23" s="4"/>
      <c r="J23" s="4"/>
      <c r="K23" s="135"/>
      <c r="L23" s="136"/>
      <c r="M23" s="129"/>
      <c r="N23" s="129"/>
      <c r="O23" s="129"/>
      <c r="P23" s="129"/>
      <c r="Q23" s="129"/>
      <c r="R23" s="129"/>
      <c r="S23" s="129"/>
      <c r="T23" s="137"/>
      <c r="U23" s="129"/>
      <c r="V23" s="129"/>
      <c r="W23" s="129"/>
      <c r="X23" s="129"/>
      <c r="Y23" s="136"/>
      <c r="Z23" s="171">
        <f t="shared" si="15"/>
        <v>0</v>
      </c>
      <c r="AA23" s="170">
        <f t="shared" si="16"/>
        <v>-3</v>
      </c>
      <c r="AB23" s="132"/>
      <c r="AC23" s="132"/>
      <c r="AD23" s="132"/>
      <c r="AE23" s="132"/>
      <c r="AF23" s="138"/>
      <c r="AG23" s="133"/>
      <c r="AH23" s="133"/>
      <c r="AI23" s="133"/>
      <c r="AJ23" s="133"/>
      <c r="AK23" s="133"/>
      <c r="AL23" s="133"/>
      <c r="AM23" s="133"/>
      <c r="AN23" s="110"/>
      <c r="AO23" s="134"/>
      <c r="BY23">
        <f t="shared" si="17"/>
        <v>0</v>
      </c>
      <c r="CA23">
        <f>AJ23*нормы!$E$5</f>
        <v>0</v>
      </c>
    </row>
    <row r="24" spans="1:79" ht="18.75" hidden="1">
      <c r="B24" s="414"/>
      <c r="C24" s="415"/>
      <c r="D24" s="416"/>
      <c r="E24" s="127">
        <f t="shared" si="14"/>
        <v>18</v>
      </c>
      <c r="F24" s="4"/>
      <c r="G24" s="4"/>
      <c r="H24" s="4"/>
      <c r="I24" s="4"/>
      <c r="J24" s="4"/>
      <c r="K24" s="135"/>
      <c r="L24" s="136"/>
      <c r="M24" s="129"/>
      <c r="N24" s="129"/>
      <c r="O24" s="129"/>
      <c r="P24" s="129"/>
      <c r="Q24" s="129"/>
      <c r="R24" s="129"/>
      <c r="S24" s="129"/>
      <c r="T24" s="137"/>
      <c r="U24" s="129"/>
      <c r="V24" s="129"/>
      <c r="W24" s="129"/>
      <c r="X24" s="129"/>
      <c r="Y24" s="136"/>
      <c r="Z24" s="171">
        <f t="shared" si="15"/>
        <v>0</v>
      </c>
      <c r="AA24" s="170">
        <f t="shared" si="16"/>
        <v>-3</v>
      </c>
      <c r="AB24" s="132"/>
      <c r="AC24" s="132"/>
      <c r="AD24" s="132"/>
      <c r="AE24" s="132"/>
      <c r="AF24" s="138"/>
      <c r="AG24" s="133"/>
      <c r="AH24" s="133"/>
      <c r="AI24" s="133"/>
      <c r="AJ24" s="133"/>
      <c r="AK24" s="133"/>
      <c r="AL24" s="133"/>
      <c r="AM24" s="133"/>
      <c r="AN24" s="110"/>
      <c r="AO24" s="134"/>
      <c r="BY24">
        <f t="shared" si="17"/>
        <v>0</v>
      </c>
      <c r="CA24">
        <f>AJ24*нормы!$E$5</f>
        <v>0</v>
      </c>
    </row>
    <row r="25" spans="1:79" ht="18.75" hidden="1">
      <c r="B25" s="414"/>
      <c r="C25" s="415"/>
      <c r="D25" s="416"/>
      <c r="E25" s="127">
        <f>E24+1</f>
        <v>19</v>
      </c>
      <c r="F25" s="4"/>
      <c r="G25" s="4"/>
      <c r="H25" s="4"/>
      <c r="I25" s="4"/>
      <c r="J25" s="4"/>
      <c r="K25" s="135"/>
      <c r="L25" s="136"/>
      <c r="M25" s="129"/>
      <c r="N25" s="129"/>
      <c r="O25" s="129"/>
      <c r="P25" s="129"/>
      <c r="Q25" s="129"/>
      <c r="R25" s="129"/>
      <c r="S25" s="129"/>
      <c r="T25" s="137"/>
      <c r="U25" s="129"/>
      <c r="V25" s="129"/>
      <c r="W25" s="129"/>
      <c r="X25" s="129"/>
      <c r="Y25" s="136"/>
      <c r="Z25" s="171">
        <f t="shared" si="15"/>
        <v>0</v>
      </c>
      <c r="AA25" s="170">
        <f t="shared" si="16"/>
        <v>-3</v>
      </c>
      <c r="AB25" s="132"/>
      <c r="AC25" s="132"/>
      <c r="AD25" s="132"/>
      <c r="AE25" s="132"/>
      <c r="AF25" s="138"/>
      <c r="AG25" s="133"/>
      <c r="AH25" s="133"/>
      <c r="AI25" s="133"/>
      <c r="AJ25" s="133"/>
      <c r="AK25" s="133"/>
      <c r="AL25" s="133"/>
      <c r="AM25" s="133"/>
      <c r="AN25" s="110"/>
      <c r="AO25" s="134"/>
      <c r="BY25">
        <f t="shared" si="17"/>
        <v>0</v>
      </c>
      <c r="CA25">
        <f>AJ25*нормы!$E$5</f>
        <v>0</v>
      </c>
    </row>
    <row r="26" spans="1:79" ht="18.75" hidden="1">
      <c r="A26" s="417" t="str">
        <f>E2</f>
        <v xml:space="preserve">Участок TruBend </v>
      </c>
      <c r="B26" s="414"/>
      <c r="C26" s="415"/>
      <c r="D26" s="416"/>
      <c r="E26" s="127">
        <f>E25+1</f>
        <v>20</v>
      </c>
      <c r="F26" s="4"/>
      <c r="G26" s="4"/>
      <c r="H26" s="4"/>
      <c r="I26" s="4"/>
      <c r="J26" s="4"/>
      <c r="K26" s="135"/>
      <c r="L26" s="136"/>
      <c r="M26" s="129"/>
      <c r="N26" s="129"/>
      <c r="O26" s="129"/>
      <c r="P26" s="129"/>
      <c r="Q26" s="129"/>
      <c r="R26" s="129"/>
      <c r="S26" s="129"/>
      <c r="T26" s="137"/>
      <c r="U26" s="129"/>
      <c r="V26" s="129"/>
      <c r="W26" s="129"/>
      <c r="X26" s="129"/>
      <c r="Y26" s="136"/>
      <c r="Z26" s="171">
        <f t="shared" si="15"/>
        <v>0</v>
      </c>
      <c r="AA26" s="170">
        <f t="shared" si="16"/>
        <v>-3</v>
      </c>
      <c r="AB26" s="132"/>
      <c r="AC26" s="132"/>
      <c r="AD26" s="132"/>
      <c r="AE26" s="132"/>
      <c r="AF26" s="138"/>
      <c r="AG26" s="133"/>
      <c r="AH26" s="133"/>
      <c r="AI26" s="133"/>
      <c r="AJ26" s="133"/>
      <c r="AK26" s="133"/>
      <c r="AL26" s="133"/>
      <c r="AM26" s="133"/>
      <c r="AN26" s="110"/>
      <c r="AO26" s="134"/>
      <c r="BY26">
        <f t="shared" si="17"/>
        <v>0</v>
      </c>
      <c r="CA26">
        <f>AJ26*нормы!$E$5</f>
        <v>0</v>
      </c>
    </row>
    <row r="27" spans="1:79" ht="19.5" hidden="1" thickBot="1">
      <c r="A27" s="417"/>
      <c r="B27" s="414"/>
      <c r="C27" s="415"/>
      <c r="D27" s="416"/>
      <c r="E27" s="139">
        <f>E26+1</f>
        <v>21</v>
      </c>
      <c r="F27" s="140"/>
      <c r="G27" s="140"/>
      <c r="H27" s="140"/>
      <c r="I27" s="140"/>
      <c r="J27" s="140"/>
      <c r="K27" s="141"/>
      <c r="L27" s="142"/>
      <c r="M27" s="143"/>
      <c r="N27" s="129"/>
      <c r="O27" s="129"/>
      <c r="P27" s="129"/>
      <c r="Q27" s="129"/>
      <c r="R27" s="129"/>
      <c r="S27" s="129"/>
      <c r="T27" s="144"/>
      <c r="U27" s="129"/>
      <c r="V27" s="129"/>
      <c r="W27" s="129"/>
      <c r="X27" s="129"/>
      <c r="Y27" s="142"/>
      <c r="Z27" s="171">
        <f t="shared" si="15"/>
        <v>0</v>
      </c>
      <c r="AA27" s="170">
        <f t="shared" si="16"/>
        <v>-3</v>
      </c>
      <c r="AB27" s="132"/>
      <c r="AC27" s="132"/>
      <c r="AD27" s="132"/>
      <c r="AE27" s="174"/>
      <c r="AF27" s="145"/>
      <c r="AG27" s="133"/>
      <c r="AH27" s="146"/>
      <c r="AI27" s="333"/>
      <c r="AJ27" s="333"/>
      <c r="AK27" s="133"/>
      <c r="AL27" s="146"/>
      <c r="AM27" s="133"/>
      <c r="AN27" s="110"/>
      <c r="AO27" s="134"/>
      <c r="BY27">
        <f t="shared" si="17"/>
        <v>0</v>
      </c>
      <c r="CA27">
        <f>AJ27*нормы!$E$5</f>
        <v>0</v>
      </c>
    </row>
    <row r="28" spans="1:79" ht="18.75">
      <c r="A28" s="417"/>
      <c r="B28" s="414"/>
      <c r="C28" s="415"/>
      <c r="D28" s="416"/>
      <c r="F28" s="22"/>
      <c r="G28" s="22"/>
      <c r="H28" s="22"/>
      <c r="I28" s="22"/>
      <c r="J28" s="22"/>
      <c r="K28" s="350">
        <f>AV28</f>
        <v>0</v>
      </c>
      <c r="L28" s="350">
        <f>AW28</f>
        <v>0</v>
      </c>
      <c r="M28" s="22"/>
      <c r="N28" s="22"/>
      <c r="O28" s="351"/>
      <c r="P28" s="350">
        <f>BZ28+CA28</f>
        <v>0</v>
      </c>
      <c r="Q28" s="351"/>
      <c r="R28" s="350">
        <f>BW28+BX28</f>
        <v>0</v>
      </c>
      <c r="S28" s="22"/>
      <c r="T28" s="22"/>
      <c r="U28" s="350">
        <f>BB28</f>
        <v>0</v>
      </c>
      <c r="V28" s="22"/>
      <c r="W28" s="22"/>
      <c r="X28" s="22"/>
      <c r="Y28" s="350">
        <f>BF28</f>
        <v>0</v>
      </c>
      <c r="Z28" s="147"/>
      <c r="AA28" s="349">
        <f>BG28</f>
        <v>0</v>
      </c>
      <c r="AB28" s="147"/>
      <c r="AC28" s="147"/>
      <c r="AD28" s="349">
        <f>BK28</f>
        <v>0</v>
      </c>
      <c r="AE28" s="147"/>
      <c r="AF28" s="147"/>
      <c r="AG28" s="349">
        <f>BM28</f>
        <v>0</v>
      </c>
      <c r="AH28" s="147"/>
      <c r="AI28" s="147"/>
      <c r="AJ28" s="349">
        <f>CA28</f>
        <v>0</v>
      </c>
      <c r="AK28" s="349">
        <f>BQ28</f>
        <v>0</v>
      </c>
      <c r="AL28" s="349"/>
      <c r="AM28" s="349"/>
      <c r="AN28" s="350">
        <f>BR28</f>
        <v>0</v>
      </c>
      <c r="AO28" s="22"/>
      <c r="AP28" s="22"/>
      <c r="AQ28" s="22"/>
      <c r="AR28" s="22"/>
      <c r="AV28">
        <f>SUM(AV7:AV27)</f>
        <v>0</v>
      </c>
      <c r="AW28">
        <f>SUM(AW7:AW27)</f>
        <v>0</v>
      </c>
      <c r="BB28">
        <f>SUM(BB7:BB27)</f>
        <v>0</v>
      </c>
      <c r="BF28">
        <f>SUM(BF7:BF27)</f>
        <v>0</v>
      </c>
      <c r="BG28">
        <f>SUM(BG7:BG27)</f>
        <v>0</v>
      </c>
      <c r="BK28">
        <f>SUM(BK7:BK27)</f>
        <v>0</v>
      </c>
      <c r="BM28">
        <f>SUM(BM7:BM27)</f>
        <v>0</v>
      </c>
      <c r="BQ28">
        <f>SUM(BQ7:BQ27)</f>
        <v>0</v>
      </c>
      <c r="BR28">
        <f>SUM(BR7:BR27)</f>
        <v>0</v>
      </c>
      <c r="BW28">
        <f>SUM(BW7:BW21)</f>
        <v>0</v>
      </c>
      <c r="BX28">
        <f>SUM(BX7:BX21)</f>
        <v>0</v>
      </c>
      <c r="BY28">
        <f>SUM(BY7:BY21)</f>
        <v>0</v>
      </c>
      <c r="BZ28">
        <f>SUM(BZ7:BZ21,)</f>
        <v>0</v>
      </c>
      <c r="CA28">
        <f>SUM(CA7:CA27)</f>
        <v>0</v>
      </c>
    </row>
    <row r="29" spans="1:79">
      <c r="A29" s="417"/>
      <c r="B29" s="414"/>
      <c r="C29" s="415"/>
      <c r="D29" s="416"/>
      <c r="E29" s="441"/>
      <c r="F29" s="441"/>
      <c r="G29" s="441"/>
      <c r="H29" s="441"/>
      <c r="I29" s="441"/>
      <c r="J29" s="441"/>
      <c r="K29" s="441"/>
      <c r="L29" s="441"/>
      <c r="M29" s="441"/>
      <c r="N29" s="441"/>
      <c r="O29" s="441"/>
      <c r="P29" s="441"/>
      <c r="Q29" s="441"/>
      <c r="R29" s="441"/>
      <c r="S29" s="441"/>
      <c r="T29" s="441"/>
      <c r="U29" s="441"/>
      <c r="V29" s="441"/>
      <c r="W29" s="441"/>
      <c r="X29" s="441"/>
      <c r="Y29" s="447"/>
      <c r="Z29" s="447"/>
      <c r="AA29" s="441"/>
      <c r="AB29" s="441"/>
      <c r="AC29" s="195"/>
      <c r="AD29" s="441"/>
      <c r="AE29" s="441"/>
      <c r="AF29" s="441"/>
      <c r="AG29" s="441"/>
      <c r="AH29" s="441"/>
      <c r="AI29" s="332"/>
      <c r="AJ29" s="332"/>
      <c r="AK29" s="148"/>
      <c r="AL29" s="149"/>
    </row>
    <row r="30" spans="1:79" ht="15.75">
      <c r="A30" s="417"/>
      <c r="B30" s="414"/>
      <c r="C30" s="415"/>
      <c r="D30" s="416"/>
      <c r="E30" s="446"/>
      <c r="F30" s="446"/>
      <c r="G30" s="446"/>
      <c r="H30" s="446"/>
      <c r="I30" s="446"/>
      <c r="J30" s="446"/>
      <c r="K30" s="446"/>
      <c r="L30" s="446"/>
      <c r="M30" s="446"/>
      <c r="N30" s="446"/>
      <c r="O30" s="446"/>
      <c r="P30" s="446"/>
      <c r="Q30" s="446"/>
      <c r="R30" s="446"/>
      <c r="S30" s="446"/>
      <c r="T30" s="446"/>
      <c r="U30" s="446"/>
      <c r="V30" s="446"/>
      <c r="W30" s="446"/>
      <c r="X30" s="446"/>
      <c r="Y30" s="443"/>
      <c r="Z30" s="443"/>
      <c r="AA30" s="443"/>
      <c r="AB30" s="443"/>
      <c r="AC30" s="197"/>
      <c r="AD30" s="444"/>
      <c r="AE30" s="444"/>
      <c r="AF30" s="444"/>
      <c r="AG30" s="150"/>
      <c r="AH30" s="149"/>
      <c r="AI30" s="149"/>
      <c r="AJ30" s="149"/>
      <c r="AK30" s="149"/>
      <c r="AL30" s="149"/>
    </row>
    <row r="31" spans="1:79" ht="28.5">
      <c r="A31" s="417"/>
      <c r="B31" s="414"/>
      <c r="C31" s="415"/>
      <c r="D31" s="416"/>
      <c r="E31" s="442"/>
      <c r="F31" s="442"/>
      <c r="G31" s="442"/>
      <c r="H31" s="442"/>
      <c r="I31" s="442"/>
      <c r="J31" s="442"/>
      <c r="K31" s="442"/>
      <c r="L31" s="442"/>
      <c r="M31" s="442"/>
      <c r="N31" s="442"/>
      <c r="O31" s="442"/>
      <c r="P31" s="442"/>
      <c r="Q31" s="442"/>
      <c r="R31" s="442"/>
      <c r="S31" s="442"/>
      <c r="T31" s="442"/>
      <c r="U31" s="442"/>
      <c r="V31" s="442"/>
      <c r="W31" s="442"/>
      <c r="X31" s="442"/>
      <c r="Y31" s="443"/>
      <c r="Z31" s="443"/>
      <c r="AA31" s="443"/>
      <c r="AB31" s="443"/>
      <c r="AC31" s="197"/>
      <c r="AD31" s="444"/>
      <c r="AE31" s="444"/>
      <c r="AF31" s="444"/>
      <c r="AG31" s="150"/>
      <c r="AH31" s="149"/>
      <c r="AI31" s="149"/>
      <c r="AJ31" s="149"/>
      <c r="AK31" s="149"/>
      <c r="AL31" s="150"/>
    </row>
    <row r="32" spans="1:79" ht="28.5">
      <c r="A32" s="417"/>
      <c r="B32" s="414"/>
      <c r="C32" s="415"/>
      <c r="D32" s="416"/>
      <c r="E32" s="442"/>
      <c r="F32" s="442"/>
      <c r="G32" s="442"/>
      <c r="H32" s="442"/>
      <c r="I32" s="442"/>
      <c r="J32" s="442"/>
      <c r="K32" s="442"/>
      <c r="L32" s="442"/>
      <c r="M32" s="442"/>
      <c r="N32" s="442"/>
      <c r="O32" s="442"/>
      <c r="P32" s="442"/>
      <c r="Q32" s="442"/>
      <c r="R32" s="442"/>
      <c r="S32" s="442"/>
      <c r="T32" s="442"/>
      <c r="U32" s="442"/>
      <c r="V32" s="442"/>
      <c r="W32" s="442"/>
      <c r="X32" s="442"/>
      <c r="Y32" s="443"/>
      <c r="Z32" s="443"/>
      <c r="AA32" s="443"/>
      <c r="AB32" s="443"/>
      <c r="AC32" s="353"/>
      <c r="AD32" s="444"/>
      <c r="AE32" s="444"/>
      <c r="AF32" s="444"/>
      <c r="AG32" s="354"/>
      <c r="AH32" s="149"/>
      <c r="AI32" s="149"/>
      <c r="AJ32" s="149"/>
      <c r="AK32" s="149"/>
      <c r="AL32" s="354"/>
    </row>
    <row r="33" spans="1:39" ht="31.5">
      <c r="A33" s="417"/>
      <c r="B33" s="414"/>
      <c r="C33" s="415"/>
      <c r="D33" s="416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X33" s="11"/>
      <c r="Y33" s="11"/>
      <c r="Z33" s="390"/>
      <c r="AA33" s="390"/>
      <c r="AB33" s="390"/>
      <c r="AC33" s="390"/>
      <c r="AD33" s="390"/>
      <c r="AE33" s="390"/>
      <c r="AF33" s="390"/>
      <c r="AG33" s="391"/>
      <c r="AH33" s="391"/>
      <c r="AI33" s="356"/>
      <c r="AJ33" s="149"/>
      <c r="AK33" s="149"/>
      <c r="AL33" s="354"/>
    </row>
    <row r="34" spans="1:39" ht="31.5">
      <c r="A34" s="417"/>
      <c r="B34" s="414"/>
      <c r="C34" s="415"/>
      <c r="D34" s="416"/>
      <c r="E34" s="11"/>
      <c r="F34" s="11" t="s">
        <v>182</v>
      </c>
      <c r="G34" s="6"/>
      <c r="H34" s="6"/>
      <c r="I34" s="6"/>
      <c r="J34" s="6"/>
      <c r="K34" s="184">
        <f>K28+L28+P28+R28+U28+Y28+AA28+AD28+AG28+AJ28+AK28+AN28</f>
        <v>0</v>
      </c>
      <c r="L34" s="185"/>
      <c r="M34" s="185"/>
      <c r="N34" s="6"/>
      <c r="O34" s="6"/>
      <c r="P34" s="6"/>
      <c r="Q34" s="6"/>
      <c r="R34" s="6"/>
      <c r="S34" s="6"/>
      <c r="T34" s="6"/>
      <c r="U34" s="6"/>
      <c r="V34" s="11"/>
      <c r="Y34" s="354"/>
      <c r="Z34" s="390"/>
      <c r="AA34" s="390"/>
      <c r="AB34" s="390"/>
      <c r="AC34" s="390"/>
      <c r="AD34" s="390"/>
      <c r="AE34" s="390"/>
      <c r="AF34" s="390"/>
      <c r="AG34" s="391"/>
      <c r="AH34" s="391"/>
      <c r="AI34" s="356"/>
      <c r="AJ34" s="149"/>
      <c r="AK34" s="149"/>
      <c r="AL34" s="354"/>
    </row>
    <row r="35" spans="1:39" ht="31.5">
      <c r="A35" s="417"/>
      <c r="B35" s="414"/>
      <c r="C35" s="415"/>
      <c r="D35" s="416"/>
      <c r="E35" s="11"/>
      <c r="F35" s="11"/>
      <c r="G35" s="11"/>
      <c r="H35" s="11"/>
      <c r="I35" s="11"/>
      <c r="J35" s="11"/>
      <c r="N35" s="11"/>
      <c r="O35" s="11"/>
      <c r="P35" s="11"/>
      <c r="Q35" s="11"/>
      <c r="R35" s="11"/>
      <c r="S35" s="11"/>
      <c r="T35" s="11"/>
      <c r="U35" s="11"/>
      <c r="V35" s="11"/>
      <c r="Y35" s="354"/>
      <c r="Z35" s="390"/>
      <c r="AA35" s="390"/>
      <c r="AB35" s="390"/>
      <c r="AC35" s="390"/>
      <c r="AD35" s="390"/>
      <c r="AE35" s="390"/>
      <c r="AF35" s="390"/>
      <c r="AG35" s="391"/>
      <c r="AH35" s="391"/>
      <c r="AI35" s="356"/>
      <c r="AJ35" s="149"/>
      <c r="AK35" s="149"/>
      <c r="AL35" s="354"/>
    </row>
    <row r="36" spans="1:39" ht="31.5">
      <c r="A36" s="417"/>
      <c r="B36" s="414"/>
      <c r="C36" s="415"/>
      <c r="D36" s="416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86"/>
      <c r="X36" s="154"/>
      <c r="Y36" s="186"/>
      <c r="Z36" s="390"/>
      <c r="AA36" s="390"/>
      <c r="AB36" s="390"/>
      <c r="AC36" s="390"/>
      <c r="AD36" s="390"/>
      <c r="AE36" s="390"/>
      <c r="AF36" s="390"/>
      <c r="AG36" s="391"/>
      <c r="AH36" s="391"/>
      <c r="AI36" s="149"/>
      <c r="AJ36" s="149"/>
      <c r="AK36" s="149"/>
      <c r="AL36" s="354"/>
    </row>
    <row r="37" spans="1:39" ht="31.5">
      <c r="A37" s="417"/>
      <c r="B37" s="414"/>
      <c r="C37" s="415"/>
      <c r="D37" s="416"/>
      <c r="F37" s="154"/>
      <c r="G37" s="154" t="s">
        <v>183</v>
      </c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390"/>
      <c r="AA37" s="390"/>
      <c r="AB37" s="390"/>
      <c r="AC37" s="390"/>
      <c r="AD37" s="390"/>
      <c r="AE37" s="390"/>
      <c r="AF37" s="390"/>
      <c r="AG37" s="391"/>
      <c r="AH37" s="391"/>
      <c r="AI37" s="149"/>
      <c r="AJ37" s="149"/>
      <c r="AK37" s="149"/>
      <c r="AL37" s="354"/>
    </row>
    <row r="38" spans="1:39" ht="31.5">
      <c r="E38" s="11"/>
      <c r="F38" s="154"/>
      <c r="G38" s="154"/>
      <c r="H38" s="155"/>
      <c r="I38" s="155"/>
      <c r="J38" s="155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390"/>
      <c r="AA38" s="390"/>
      <c r="AB38" s="390"/>
      <c r="AC38" s="390"/>
      <c r="AD38" s="390"/>
      <c r="AE38" s="390"/>
      <c r="AF38" s="390"/>
      <c r="AG38" s="391"/>
      <c r="AH38" s="391"/>
      <c r="AI38" s="149"/>
      <c r="AJ38" s="149"/>
      <c r="AK38" s="149"/>
      <c r="AL38" s="354"/>
    </row>
    <row r="39" spans="1:39" ht="22.5">
      <c r="E39" s="11"/>
      <c r="F39" s="154"/>
      <c r="G39" s="154" t="s">
        <v>184</v>
      </c>
      <c r="H39" s="154"/>
      <c r="I39" s="154"/>
      <c r="J39" s="154"/>
      <c r="K39" s="154"/>
      <c r="L39" s="154"/>
      <c r="M39" s="154" t="s">
        <v>169</v>
      </c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5"/>
      <c r="Z39" s="155"/>
      <c r="AA39" s="155"/>
      <c r="AB39" s="155"/>
      <c r="AC39" s="155"/>
      <c r="AD39" s="155"/>
      <c r="AE39" s="155"/>
      <c r="AF39" s="155"/>
      <c r="AG39" s="354"/>
      <c r="AH39" s="149"/>
      <c r="AI39" s="149"/>
      <c r="AJ39" s="149"/>
      <c r="AK39" s="149"/>
      <c r="AL39" s="354"/>
    </row>
    <row r="40" spans="1:39" ht="22.5">
      <c r="E40" s="11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87" t="s">
        <v>170</v>
      </c>
      <c r="T40" s="154"/>
      <c r="U40" s="154"/>
      <c r="V40" s="154"/>
      <c r="W40" s="154"/>
      <c r="X40" s="154"/>
      <c r="Y40" s="11"/>
      <c r="Z40" s="155"/>
      <c r="AA40" s="155"/>
      <c r="AB40" s="155"/>
      <c r="AC40" s="155"/>
      <c r="AD40" s="155"/>
      <c r="AE40" s="155"/>
      <c r="AF40" s="155"/>
      <c r="AG40" s="11"/>
      <c r="AH40" s="11"/>
      <c r="AI40" s="11"/>
      <c r="AJ40" s="11"/>
      <c r="AK40" s="11"/>
      <c r="AL40" s="11"/>
      <c r="AM40" s="11"/>
    </row>
    <row r="41" spans="1:39" ht="22.5">
      <c r="E41" s="11"/>
      <c r="F41" s="154"/>
      <c r="G41" s="154"/>
      <c r="H41" s="155"/>
      <c r="I41" s="155"/>
      <c r="J41" s="155"/>
      <c r="K41" s="155"/>
      <c r="L41" s="155"/>
      <c r="M41" s="155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1"/>
      <c r="AH41" s="11"/>
      <c r="AI41" s="11"/>
      <c r="AJ41" s="11"/>
      <c r="AK41" s="11"/>
      <c r="AL41" s="11"/>
      <c r="AM41" s="11"/>
    </row>
    <row r="42" spans="1:39" ht="36">
      <c r="D42" s="151"/>
      <c r="E42" s="11"/>
      <c r="F42" s="11" t="str">
        <f>CONCATENATE(B9,"----",A26)</f>
        <v xml:space="preserve">СОПРОВОДИТЕЛЬНЫЙ ЛИСТ №  ----Участок TruBend </v>
      </c>
      <c r="H42" s="11"/>
      <c r="I42" s="11"/>
      <c r="J42" s="11"/>
      <c r="K42" s="152"/>
      <c r="L42" s="152"/>
      <c r="M42" s="152"/>
      <c r="N42" s="152"/>
      <c r="O42" s="152"/>
      <c r="P42" s="152"/>
      <c r="Q42" s="152"/>
      <c r="R42" s="152"/>
      <c r="S42" s="152"/>
      <c r="T42" s="11"/>
      <c r="U42" s="153"/>
      <c r="V42" s="153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spans="1:39" ht="22.5">
      <c r="C43" s="154"/>
      <c r="D43" s="154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4"/>
      <c r="AC43" s="154"/>
    </row>
    <row r="44" spans="1:39" ht="22.5">
      <c r="C44" s="154"/>
      <c r="D44" s="154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4"/>
      <c r="AC44" s="154"/>
    </row>
    <row r="45" spans="1:39" ht="22.5">
      <c r="C45" s="154"/>
      <c r="D45" s="154" t="s">
        <v>168</v>
      </c>
      <c r="E45" s="154"/>
      <c r="F45" s="154"/>
      <c r="G45" s="154"/>
      <c r="H45" s="154" t="s">
        <v>169</v>
      </c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</row>
    <row r="46" spans="1:39" ht="22.5"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6" t="s">
        <v>170</v>
      </c>
      <c r="V46" s="156"/>
      <c r="W46" s="154"/>
      <c r="X46" s="154"/>
      <c r="Y46" s="154"/>
      <c r="Z46" s="154"/>
      <c r="AA46" s="154"/>
      <c r="AB46" s="154"/>
      <c r="AC46" s="154"/>
    </row>
  </sheetData>
  <mergeCells count="52">
    <mergeCell ref="BW5:BX5"/>
    <mergeCell ref="BY5:BZ5"/>
    <mergeCell ref="B3:C8"/>
    <mergeCell ref="Y5:Z5"/>
    <mergeCell ref="AA5:AB5"/>
    <mergeCell ref="AD5:AF5"/>
    <mergeCell ref="BL5:BM5"/>
    <mergeCell ref="BN5:BP5"/>
    <mergeCell ref="BR5:BV5"/>
    <mergeCell ref="BE5:BF5"/>
    <mergeCell ref="BG5:BH5"/>
    <mergeCell ref="BI5:BK5"/>
    <mergeCell ref="U5:V5"/>
    <mergeCell ref="AD29:AF29"/>
    <mergeCell ref="AG29:AH29"/>
    <mergeCell ref="F4:AO4"/>
    <mergeCell ref="AG5:AH5"/>
    <mergeCell ref="E30:X30"/>
    <mergeCell ref="Y30:Z30"/>
    <mergeCell ref="AA30:AB30"/>
    <mergeCell ref="AD30:AF30"/>
    <mergeCell ref="Y29:Z29"/>
    <mergeCell ref="AK5:AM5"/>
    <mergeCell ref="AN5:AR5"/>
    <mergeCell ref="AI5:AJ5"/>
    <mergeCell ref="CA5:CA6"/>
    <mergeCell ref="A26:A37"/>
    <mergeCell ref="E29:X29"/>
    <mergeCell ref="E31:X31"/>
    <mergeCell ref="Z34:AF34"/>
    <mergeCell ref="AA31:AB31"/>
    <mergeCell ref="AD31:AF31"/>
    <mergeCell ref="E32:X32"/>
    <mergeCell ref="Y32:Z32"/>
    <mergeCell ref="AA32:AB32"/>
    <mergeCell ref="AD32:AF32"/>
    <mergeCell ref="Y31:Z31"/>
    <mergeCell ref="B9:B37"/>
    <mergeCell ref="C17:C37"/>
    <mergeCell ref="D17:D37"/>
    <mergeCell ref="AA29:AB29"/>
    <mergeCell ref="Z33:AF33"/>
    <mergeCell ref="AG33:AH33"/>
    <mergeCell ref="AG34:AH34"/>
    <mergeCell ref="Z35:AF35"/>
    <mergeCell ref="AG35:AH35"/>
    <mergeCell ref="Z36:AF36"/>
    <mergeCell ref="AG36:AH36"/>
    <mergeCell ref="Z37:AF37"/>
    <mergeCell ref="AG37:AH37"/>
    <mergeCell ref="Z38:AF38"/>
    <mergeCell ref="AG38:AH38"/>
  </mergeCells>
  <pageMargins left="0" right="0" top="0" bottom="0" header="0" footer="0"/>
  <pageSetup paperSize="9" scale="3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76"/>
  <sheetViews>
    <sheetView topLeftCell="A5" zoomScale="60" zoomScaleNormal="60" workbookViewId="0">
      <selection activeCell="R12" sqref="R12:R26"/>
    </sheetView>
  </sheetViews>
  <sheetFormatPr defaultRowHeight="15"/>
  <cols>
    <col min="5" max="5" width="3.42578125" customWidth="1"/>
    <col min="7" max="7" width="17.5703125" customWidth="1"/>
    <col min="8" max="10" width="9.140625" hidden="1" customWidth="1"/>
    <col min="11" max="11" width="10.5703125" customWidth="1"/>
    <col min="12" max="12" width="9.28515625" customWidth="1"/>
    <col min="13" max="13" width="16" customWidth="1"/>
    <col min="14" max="14" width="14.28515625" customWidth="1"/>
    <col min="15" max="15" width="34.85546875" customWidth="1"/>
    <col min="16" max="16" width="17.42578125" customWidth="1"/>
    <col min="17" max="17" width="24.7109375" customWidth="1"/>
    <col min="18" max="18" width="15.5703125" customWidth="1"/>
    <col min="19" max="21" width="0" hidden="1" customWidth="1"/>
    <col min="22" max="22" width="8.5703125" hidden="1" customWidth="1"/>
    <col min="23" max="23" width="11.5703125" hidden="1" customWidth="1"/>
    <col min="24" max="27" width="0" hidden="1" customWidth="1"/>
    <col min="28" max="28" width="9.42578125" hidden="1" customWidth="1"/>
    <col min="29" max="29" width="0" hidden="1" customWidth="1"/>
    <col min="30" max="30" width="9.140625" hidden="1" customWidth="1"/>
    <col min="31" max="31" width="9.140625" customWidth="1"/>
    <col min="32" max="32" width="9.140625" hidden="1" customWidth="1"/>
    <col min="33" max="33" width="8" hidden="1" customWidth="1"/>
    <col min="34" max="36" width="7" hidden="1" customWidth="1"/>
    <col min="37" max="37" width="25" hidden="1" customWidth="1"/>
    <col min="39" max="39" width="17.42578125" customWidth="1"/>
    <col min="40" max="40" width="11.85546875" customWidth="1"/>
  </cols>
  <sheetData>
    <row r="1" spans="3:36" hidden="1"/>
    <row r="2" spans="3:36" hidden="1"/>
    <row r="3" spans="3:36" ht="26.25" hidden="1" customHeight="1"/>
    <row r="4" spans="3:36" ht="27.75" hidden="1" customHeight="1"/>
    <row r="5" spans="3:36" ht="48" customHeight="1">
      <c r="F5" s="22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11"/>
      <c r="T5" s="11"/>
      <c r="U5" s="226"/>
    </row>
    <row r="6" spans="3:36" ht="40.5" customHeight="1">
      <c r="C6" s="462">
        <f>'Исходные данные'!H13</f>
        <v>2222</v>
      </c>
      <c r="D6" s="463"/>
      <c r="F6" s="464" t="s">
        <v>264</v>
      </c>
      <c r="G6" s="465"/>
      <c r="H6" s="465"/>
      <c r="I6" s="465"/>
      <c r="J6" s="465"/>
      <c r="K6" s="465"/>
      <c r="L6" s="465"/>
      <c r="M6" s="465"/>
      <c r="N6" s="465"/>
      <c r="O6" s="465"/>
      <c r="P6" s="465"/>
      <c r="Q6" s="465"/>
      <c r="R6" s="465"/>
      <c r="S6" s="465"/>
      <c r="T6" s="465"/>
      <c r="U6" s="226"/>
      <c r="V6" s="259"/>
      <c r="W6" s="260"/>
    </row>
    <row r="7" spans="3:36" ht="33" customHeight="1" thickBot="1">
      <c r="C7" s="462"/>
      <c r="D7" s="463"/>
      <c r="F7" s="22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226"/>
      <c r="V7" s="259"/>
      <c r="W7" s="260"/>
    </row>
    <row r="8" spans="3:36" ht="33" customHeight="1" thickBot="1">
      <c r="C8" s="462"/>
      <c r="D8" s="463"/>
      <c r="E8" s="13"/>
      <c r="F8" s="466" t="s">
        <v>151</v>
      </c>
      <c r="G8" s="469" t="s">
        <v>152</v>
      </c>
      <c r="H8" s="469" t="s">
        <v>153</v>
      </c>
      <c r="I8" s="466" t="s">
        <v>80</v>
      </c>
      <c r="J8" s="472" t="s">
        <v>199</v>
      </c>
      <c r="K8" s="472" t="s">
        <v>158</v>
      </c>
      <c r="L8" s="472" t="s">
        <v>159</v>
      </c>
      <c r="M8" s="472" t="s">
        <v>202</v>
      </c>
      <c r="N8" s="472" t="s">
        <v>207</v>
      </c>
      <c r="O8" s="472" t="s">
        <v>228</v>
      </c>
      <c r="P8" s="472" t="s">
        <v>205</v>
      </c>
      <c r="Q8" s="472" t="s">
        <v>243</v>
      </c>
      <c r="R8" s="472" t="s">
        <v>206</v>
      </c>
      <c r="S8" s="479" t="s">
        <v>200</v>
      </c>
      <c r="T8" s="466" t="s">
        <v>2</v>
      </c>
      <c r="U8" s="226"/>
      <c r="V8" s="259"/>
      <c r="W8" s="260"/>
    </row>
    <row r="9" spans="3:36" ht="33" customHeight="1" thickBot="1">
      <c r="C9" s="462"/>
      <c r="D9" s="463"/>
      <c r="F9" s="467"/>
      <c r="G9" s="470"/>
      <c r="H9" s="470"/>
      <c r="I9" s="467"/>
      <c r="J9" s="473"/>
      <c r="K9" s="473"/>
      <c r="L9" s="473"/>
      <c r="M9" s="473"/>
      <c r="N9" s="473"/>
      <c r="O9" s="473"/>
      <c r="P9" s="473"/>
      <c r="Q9" s="473"/>
      <c r="R9" s="473"/>
      <c r="S9" s="479"/>
      <c r="T9" s="467"/>
      <c r="U9" s="228"/>
      <c r="V9" s="259"/>
      <c r="W9" s="260"/>
      <c r="AG9" s="478" t="s">
        <v>68</v>
      </c>
      <c r="AH9" s="478" t="s">
        <v>267</v>
      </c>
      <c r="AI9" s="478" t="s">
        <v>269</v>
      </c>
      <c r="AJ9" s="478" t="s">
        <v>268</v>
      </c>
    </row>
    <row r="10" spans="3:36" ht="42" customHeight="1" thickBot="1">
      <c r="C10" s="462"/>
      <c r="D10" s="463"/>
      <c r="F10" s="467"/>
      <c r="G10" s="470"/>
      <c r="H10" s="470"/>
      <c r="I10" s="467"/>
      <c r="J10" s="473"/>
      <c r="K10" s="473"/>
      <c r="L10" s="473"/>
      <c r="M10" s="473"/>
      <c r="N10" s="473"/>
      <c r="O10" s="473"/>
      <c r="P10" s="473"/>
      <c r="Q10" s="473"/>
      <c r="R10" s="473"/>
      <c r="S10" s="479"/>
      <c r="T10" s="467"/>
      <c r="U10" s="226"/>
      <c r="V10" s="259"/>
      <c r="W10" s="260"/>
      <c r="AG10" s="478"/>
      <c r="AH10" s="478"/>
      <c r="AI10" s="478"/>
      <c r="AJ10" s="478"/>
    </row>
    <row r="11" spans="3:36" ht="33" customHeight="1" thickBot="1">
      <c r="C11" s="462"/>
      <c r="D11" s="463"/>
      <c r="F11" s="468"/>
      <c r="G11" s="471"/>
      <c r="H11" s="471"/>
      <c r="I11" s="468"/>
      <c r="J11" s="474"/>
      <c r="K11" s="474"/>
      <c r="L11" s="474"/>
      <c r="M11" s="474"/>
      <c r="N11" s="474"/>
      <c r="O11" s="474"/>
      <c r="P11" s="474"/>
      <c r="Q11" s="474"/>
      <c r="R11" s="474"/>
      <c r="S11" s="208" t="s">
        <v>23</v>
      </c>
      <c r="T11" s="468"/>
      <c r="U11" s="228"/>
      <c r="V11" s="259"/>
      <c r="W11" s="260"/>
      <c r="AG11" s="478"/>
      <c r="AH11" s="478"/>
      <c r="AI11" s="478"/>
      <c r="AJ11" s="478"/>
    </row>
    <row r="12" spans="3:36" ht="33" customHeight="1" thickBot="1">
      <c r="C12" s="462"/>
      <c r="D12" s="463"/>
      <c r="E12" s="229"/>
      <c r="F12" s="230">
        <v>1</v>
      </c>
      <c r="G12" s="247">
        <f>'Исходные данные'!B17</f>
        <v>0</v>
      </c>
      <c r="H12" s="231" t="e">
        <f>'[1]Исходные данные'!AP10</f>
        <v>#REF!</v>
      </c>
      <c r="I12" s="232">
        <f>'[1]Исходные данные'!AQ10</f>
        <v>0</v>
      </c>
      <c r="J12" s="232">
        <f>'[1]Исходные данные'!AS10</f>
        <v>0</v>
      </c>
      <c r="K12" s="232">
        <f>'Исходные данные'!G17</f>
        <v>0</v>
      </c>
      <c r="L12" s="232">
        <f>'Исходные данные'!H17</f>
        <v>0</v>
      </c>
      <c r="M12" s="232">
        <f>'Исходные данные'!M17</f>
        <v>0</v>
      </c>
      <c r="N12" s="232">
        <f>'Исходные данные'!L17</f>
        <v>0</v>
      </c>
      <c r="O12" s="232">
        <f>IF(M12="Siemenes","ВМ 02.100.01.000-01",IF(M12="Belimo","ВМ 02.100.01.000",0))</f>
        <v>0</v>
      </c>
      <c r="P12" s="232">
        <f>IF(AND(M12="Siemenes",N12="сн"),K12+40,IF(AND(M12="Siemenes",N12="вн"),K12-10,IF(AND(M12="Belimo",N12="сн"),K12+18,IF(AND(M12="Belimo",N12="вн"),K12-60+15,))))</f>
        <v>0</v>
      </c>
      <c r="Q12" s="232">
        <f>P12-170</f>
        <v>-170</v>
      </c>
      <c r="R12" s="232">
        <f>'Исходные данные'!S17</f>
        <v>0</v>
      </c>
      <c r="S12" s="233" t="e">
        <f>IF('[1]Исходные данные'!AZ10=1,'[1]Исходные данные'!AT10-4,IF('[1]Исходные данные'!AZ10=3,'[1]Исходные данные'!AT10-4,IF('[1]Исходные данные'!AZ10=2,"---",IF('[1]Исходные данные'!AZ10=4,"---",))))</f>
        <v>#REF!</v>
      </c>
      <c r="T12" s="234" t="e">
        <f>'[1]Труматик гермики'!BF11</f>
        <v>#REF!</v>
      </c>
      <c r="U12" s="226">
        <f>IF(R12&gt;0,R12,0)</f>
        <v>0</v>
      </c>
      <c r="V12" s="259">
        <f>IF(R12&gt;0,R12,0)</f>
        <v>0</v>
      </c>
      <c r="W12" s="260"/>
      <c r="AG12" s="4">
        <f>IF(K12&gt;0,0.022,0)</f>
        <v>0</v>
      </c>
      <c r="AH12" s="4">
        <f>IF(K12&gt;0,0.005,0)</f>
        <v>0</v>
      </c>
      <c r="AI12" s="4">
        <f>AG12+AH12</f>
        <v>0</v>
      </c>
      <c r="AJ12" s="4">
        <f>AI12*R12</f>
        <v>0</v>
      </c>
    </row>
    <row r="13" spans="3:36" ht="33" customHeight="1" thickBot="1">
      <c r="C13" s="462"/>
      <c r="D13" s="463"/>
      <c r="E13" s="229"/>
      <c r="F13" s="235">
        <f>1+F12</f>
        <v>2</v>
      </c>
      <c r="G13" s="247">
        <f>'Исходные данные'!B18</f>
        <v>0</v>
      </c>
      <c r="H13" s="231" t="e">
        <f>'[1]Исходные данные'!AP11</f>
        <v>#REF!</v>
      </c>
      <c r="I13" s="232">
        <f>'[1]Исходные данные'!AQ11</f>
        <v>0</v>
      </c>
      <c r="J13" s="232">
        <f>'[1]Исходные данные'!AS11</f>
        <v>0</v>
      </c>
      <c r="K13" s="232">
        <f>'Исходные данные'!G18</f>
        <v>0</v>
      </c>
      <c r="L13" s="232">
        <f>'Исходные данные'!H18</f>
        <v>0</v>
      </c>
      <c r="M13" s="232">
        <f>'Исходные данные'!M18</f>
        <v>0</v>
      </c>
      <c r="N13" s="232">
        <f>'Исходные данные'!L18</f>
        <v>0</v>
      </c>
      <c r="O13" s="232">
        <f t="shared" ref="O13:O26" si="0">IF(M13="Siemenes","ВМ 02.100.01.000-01",IF(M13="Belimo","ВМ 02.100.01.000",0))</f>
        <v>0</v>
      </c>
      <c r="P13" s="232">
        <f t="shared" ref="P13:P26" si="1">IF(AND(M13="Siemenes",N13="сн"),K13+40,IF(AND(M13="Siemenes",N13="вн"),K13-10,IF(AND(M13="Belimo",N13="сн"),K13+18,IF(AND(M13="Belimo",N13="вн"),K13-60+15,))))</f>
        <v>0</v>
      </c>
      <c r="Q13" s="232">
        <f t="shared" ref="Q13:Q26" si="2">P13-170</f>
        <v>-170</v>
      </c>
      <c r="R13" s="232">
        <f>'Исходные данные'!S18</f>
        <v>0</v>
      </c>
      <c r="S13" s="236" t="e">
        <f>IF('[1]Исходные данные'!AZ11=1,'[1]Исходные данные'!AT11-4,IF('[1]Исходные данные'!AZ11=3,'[1]Исходные данные'!AT11-4,IF('[1]Исходные данные'!AZ11=2,"---",IF('[1]Исходные данные'!AZ11=4,"---",))))</f>
        <v>#REF!</v>
      </c>
      <c r="T13" s="237" t="e">
        <f>'[1]Труматик гермики'!BF12</f>
        <v>#REF!</v>
      </c>
      <c r="U13" s="226">
        <f t="shared" ref="U13:U26" si="3">IF(R13&gt;0,R13,0)</f>
        <v>0</v>
      </c>
      <c r="V13" s="261"/>
      <c r="W13" s="239"/>
      <c r="AG13" s="4">
        <f t="shared" ref="AG13:AG26" si="4">IF(K13&gt;0,0.022,0)</f>
        <v>0</v>
      </c>
      <c r="AH13" s="4">
        <f t="shared" ref="AH13:AH26" si="5">IF(K13&gt;0,0.005,0)</f>
        <v>0</v>
      </c>
      <c r="AI13" s="4">
        <f t="shared" ref="AI13:AI26" si="6">AG13+AH13</f>
        <v>0</v>
      </c>
      <c r="AJ13" s="4">
        <f t="shared" ref="AJ13:AJ16" si="7">AI13*R13</f>
        <v>0</v>
      </c>
    </row>
    <row r="14" spans="3:36" ht="33" customHeight="1" thickBot="1">
      <c r="C14" s="238"/>
      <c r="D14" s="461" t="s">
        <v>201</v>
      </c>
      <c r="E14" s="476"/>
      <c r="F14" s="235">
        <f t="shared" ref="F14:F26" si="8">1+F13</f>
        <v>3</v>
      </c>
      <c r="G14" s="247">
        <f>'Исходные данные'!B19</f>
        <v>0</v>
      </c>
      <c r="H14" s="231" t="e">
        <f>'[1]Исходные данные'!AP12</f>
        <v>#REF!</v>
      </c>
      <c r="I14" s="232">
        <f>'[1]Исходные данные'!AQ12</f>
        <v>0</v>
      </c>
      <c r="J14" s="232">
        <f>'[1]Исходные данные'!AS12</f>
        <v>0</v>
      </c>
      <c r="K14" s="232">
        <f>'Исходные данные'!G19</f>
        <v>0</v>
      </c>
      <c r="L14" s="232">
        <f>'Исходные данные'!H19</f>
        <v>0</v>
      </c>
      <c r="M14" s="232">
        <f>'Исходные данные'!M19</f>
        <v>0</v>
      </c>
      <c r="N14" s="232">
        <f>'Исходные данные'!L19</f>
        <v>0</v>
      </c>
      <c r="O14" s="232">
        <f t="shared" si="0"/>
        <v>0</v>
      </c>
      <c r="P14" s="232">
        <f t="shared" si="1"/>
        <v>0</v>
      </c>
      <c r="Q14" s="232">
        <f t="shared" si="2"/>
        <v>-170</v>
      </c>
      <c r="R14" s="232">
        <f>'Исходные данные'!S19</f>
        <v>0</v>
      </c>
      <c r="S14" s="236" t="e">
        <f>IF('[1]Исходные данные'!AZ12=1,'[1]Исходные данные'!AT12-4,IF('[1]Исходные данные'!AZ12=3,'[1]Исходные данные'!AT12-4,IF('[1]Исходные данные'!AZ12=2,"---",IF('[1]Исходные данные'!AZ12=4,"---",))))</f>
        <v>#REF!</v>
      </c>
      <c r="T14" s="237" t="e">
        <f>'[1]Труматик гермики'!BF13</f>
        <v>#REF!</v>
      </c>
      <c r="U14" s="226">
        <f t="shared" si="3"/>
        <v>0</v>
      </c>
      <c r="V14" s="261"/>
      <c r="W14" s="461"/>
      <c r="Z14" s="4"/>
      <c r="AA14" s="4"/>
      <c r="AB14" s="4"/>
      <c r="AG14" s="4">
        <f t="shared" si="4"/>
        <v>0</v>
      </c>
      <c r="AH14" s="4">
        <f t="shared" si="5"/>
        <v>0</v>
      </c>
      <c r="AI14" s="4">
        <f t="shared" si="6"/>
        <v>0</v>
      </c>
      <c r="AJ14" s="4">
        <f t="shared" si="7"/>
        <v>0</v>
      </c>
    </row>
    <row r="15" spans="3:36" ht="33" customHeight="1" thickBot="1">
      <c r="C15" s="475" t="s">
        <v>212</v>
      </c>
      <c r="D15" s="461"/>
      <c r="E15" s="476"/>
      <c r="F15" s="235">
        <f t="shared" si="8"/>
        <v>4</v>
      </c>
      <c r="G15" s="247">
        <f>'Исходные данные'!B20</f>
        <v>0</v>
      </c>
      <c r="H15" s="231" t="e">
        <f>'[1]Исходные данные'!AP13</f>
        <v>#REF!</v>
      </c>
      <c r="I15" s="232">
        <f>'[1]Исходные данные'!AQ13</f>
        <v>0</v>
      </c>
      <c r="J15" s="232">
        <f>'[1]Исходные данные'!AS13</f>
        <v>0</v>
      </c>
      <c r="K15" s="232">
        <f>'Исходные данные'!G20</f>
        <v>0</v>
      </c>
      <c r="L15" s="232">
        <f>'Исходные данные'!H20</f>
        <v>0</v>
      </c>
      <c r="M15" s="232">
        <f>'Исходные данные'!M20</f>
        <v>0</v>
      </c>
      <c r="N15" s="232">
        <f>'Исходные данные'!L20</f>
        <v>0</v>
      </c>
      <c r="O15" s="232">
        <f t="shared" si="0"/>
        <v>0</v>
      </c>
      <c r="P15" s="232">
        <f t="shared" si="1"/>
        <v>0</v>
      </c>
      <c r="Q15" s="232">
        <f t="shared" si="2"/>
        <v>-170</v>
      </c>
      <c r="R15" s="232">
        <f>'Исходные данные'!S20</f>
        <v>0</v>
      </c>
      <c r="S15" s="236" t="e">
        <f>IF('[1]Исходные данные'!AZ13=1,'[1]Исходные данные'!AT13-4,IF('[1]Исходные данные'!AZ13=3,'[1]Исходные данные'!AT13-4,IF('[1]Исходные данные'!AZ13=2,"---",IF('[1]Исходные данные'!AZ13=4,"---",))))</f>
        <v>#REF!</v>
      </c>
      <c r="T15" s="237" t="e">
        <f>'[1]Труматик гермики'!BF14</f>
        <v>#REF!</v>
      </c>
      <c r="U15" s="226">
        <f t="shared" si="3"/>
        <v>0</v>
      </c>
      <c r="V15" s="261"/>
      <c r="W15" s="461"/>
      <c r="Z15" s="4"/>
      <c r="AA15" s="4"/>
      <c r="AB15" s="4"/>
      <c r="AG15" s="4">
        <f t="shared" si="4"/>
        <v>0</v>
      </c>
      <c r="AH15" s="4">
        <f t="shared" si="5"/>
        <v>0</v>
      </c>
      <c r="AI15" s="4">
        <f t="shared" si="6"/>
        <v>0</v>
      </c>
      <c r="AJ15" s="4">
        <f t="shared" si="7"/>
        <v>0</v>
      </c>
    </row>
    <row r="16" spans="3:36" ht="33" customHeight="1" thickBot="1">
      <c r="C16" s="475"/>
      <c r="D16" s="461"/>
      <c r="E16" s="476"/>
      <c r="F16" s="235">
        <f t="shared" si="8"/>
        <v>5</v>
      </c>
      <c r="G16" s="247">
        <f>'Исходные данные'!B21</f>
        <v>0</v>
      </c>
      <c r="H16" s="231" t="e">
        <f>'[1]Исходные данные'!AP14</f>
        <v>#REF!</v>
      </c>
      <c r="I16" s="232">
        <f>'[1]Исходные данные'!AQ14</f>
        <v>0</v>
      </c>
      <c r="J16" s="232">
        <f>'[1]Исходные данные'!AS14</f>
        <v>0</v>
      </c>
      <c r="K16" s="232">
        <f>'Исходные данные'!G21</f>
        <v>0</v>
      </c>
      <c r="L16" s="232">
        <f>'Исходные данные'!H21</f>
        <v>0</v>
      </c>
      <c r="M16" s="232">
        <f>'Исходные данные'!M21</f>
        <v>0</v>
      </c>
      <c r="N16" s="232">
        <f>'Исходные данные'!L21</f>
        <v>0</v>
      </c>
      <c r="O16" s="232">
        <f t="shared" si="0"/>
        <v>0</v>
      </c>
      <c r="P16" s="232">
        <f t="shared" si="1"/>
        <v>0</v>
      </c>
      <c r="Q16" s="232">
        <f t="shared" si="2"/>
        <v>-170</v>
      </c>
      <c r="R16" s="232">
        <f>'Исходные данные'!S21</f>
        <v>0</v>
      </c>
      <c r="S16" s="236" t="e">
        <f>IF('[1]Исходные данные'!AZ14=1,'[1]Исходные данные'!AT14-4,IF('[1]Исходные данные'!AZ14=3,'[1]Исходные данные'!AT14-4,IF('[1]Исходные данные'!AZ14=2,"---",IF('[1]Исходные данные'!AZ14=4,"---",))))</f>
        <v>#REF!</v>
      </c>
      <c r="T16" s="237" t="e">
        <f>'[1]Труматик гермики'!BF15</f>
        <v>#REF!</v>
      </c>
      <c r="U16" s="226">
        <f t="shared" si="3"/>
        <v>0</v>
      </c>
      <c r="V16" s="261"/>
      <c r="W16" s="461"/>
      <c r="Z16" s="4"/>
      <c r="AA16" s="4"/>
      <c r="AB16" s="4"/>
      <c r="AG16" s="4">
        <f t="shared" si="4"/>
        <v>0</v>
      </c>
      <c r="AH16" s="4">
        <f t="shared" si="5"/>
        <v>0</v>
      </c>
      <c r="AI16" s="4">
        <f t="shared" si="6"/>
        <v>0</v>
      </c>
      <c r="AJ16" s="4">
        <f t="shared" si="7"/>
        <v>0</v>
      </c>
    </row>
    <row r="17" spans="3:36" ht="33" customHeight="1" thickBot="1">
      <c r="C17" s="475"/>
      <c r="D17" s="461"/>
      <c r="E17" s="476"/>
      <c r="F17" s="235">
        <f t="shared" si="8"/>
        <v>6</v>
      </c>
      <c r="G17" s="247">
        <f>'Исходные данные'!B22</f>
        <v>0</v>
      </c>
      <c r="H17" s="231" t="e">
        <f>'[1]Исходные данные'!AP15</f>
        <v>#REF!</v>
      </c>
      <c r="I17" s="232">
        <f>'[1]Исходные данные'!AQ15</f>
        <v>0</v>
      </c>
      <c r="J17" s="232">
        <f>'[1]Исходные данные'!AS15</f>
        <v>0</v>
      </c>
      <c r="K17" s="232">
        <f>'Исходные данные'!G22</f>
        <v>0</v>
      </c>
      <c r="L17" s="232">
        <f>'Исходные данные'!H22</f>
        <v>0</v>
      </c>
      <c r="M17" s="232">
        <f>'Исходные данные'!M22</f>
        <v>0</v>
      </c>
      <c r="N17" s="232">
        <f>'Исходные данные'!L22</f>
        <v>0</v>
      </c>
      <c r="O17" s="232">
        <f t="shared" si="0"/>
        <v>0</v>
      </c>
      <c r="P17" s="232">
        <f t="shared" si="1"/>
        <v>0</v>
      </c>
      <c r="Q17" s="232">
        <f t="shared" si="2"/>
        <v>-170</v>
      </c>
      <c r="R17" s="232">
        <f>'Исходные данные'!S22</f>
        <v>0</v>
      </c>
      <c r="S17" s="236" t="e">
        <f>IF('[1]Исходные данные'!AZ15=1,'[1]Исходные данные'!AT15-4,IF('[1]Исходные данные'!AZ15=3,'[1]Исходные данные'!AT15-4,IF('[1]Исходные данные'!AZ15=2,"---",IF('[1]Исходные данные'!AZ15=4,"---",))))</f>
        <v>#REF!</v>
      </c>
      <c r="T17" s="237" t="e">
        <f>'[1]Труматик гермики'!BF16</f>
        <v>#REF!</v>
      </c>
      <c r="U17" s="226">
        <f t="shared" si="3"/>
        <v>0</v>
      </c>
      <c r="V17" s="261"/>
      <c r="W17" s="461"/>
      <c r="AG17" s="4">
        <f t="shared" si="4"/>
        <v>0</v>
      </c>
      <c r="AH17" s="4">
        <f t="shared" si="5"/>
        <v>0</v>
      </c>
      <c r="AI17" s="4">
        <f t="shared" si="6"/>
        <v>0</v>
      </c>
      <c r="AJ17" s="4">
        <f t="shared" ref="AJ17:AJ26" si="9">R17*AG17</f>
        <v>0</v>
      </c>
    </row>
    <row r="18" spans="3:36" ht="33" customHeight="1" thickBot="1">
      <c r="C18" s="475"/>
      <c r="D18" s="461"/>
      <c r="E18" s="476"/>
      <c r="F18" s="235">
        <f t="shared" si="8"/>
        <v>7</v>
      </c>
      <c r="G18" s="247">
        <f>'Исходные данные'!B23</f>
        <v>0</v>
      </c>
      <c r="H18" s="231" t="e">
        <f>'[1]Исходные данные'!AP16</f>
        <v>#REF!</v>
      </c>
      <c r="I18" s="232">
        <f>'[1]Исходные данные'!AQ16</f>
        <v>0</v>
      </c>
      <c r="J18" s="232">
        <f>'[1]Исходные данные'!AS16</f>
        <v>0</v>
      </c>
      <c r="K18" s="232">
        <f>'Исходные данные'!G23</f>
        <v>0</v>
      </c>
      <c r="L18" s="232">
        <f>'Исходные данные'!H23</f>
        <v>0</v>
      </c>
      <c r="M18" s="232" t="str">
        <f>'Исходные данные'!M23</f>
        <v>-</v>
      </c>
      <c r="N18" s="232">
        <f>'Исходные данные'!L23</f>
        <v>0</v>
      </c>
      <c r="O18" s="232">
        <f t="shared" si="0"/>
        <v>0</v>
      </c>
      <c r="P18" s="232">
        <f t="shared" si="1"/>
        <v>0</v>
      </c>
      <c r="Q18" s="232">
        <f t="shared" si="2"/>
        <v>-170</v>
      </c>
      <c r="R18" s="232">
        <f>'Исходные данные'!S23</f>
        <v>0</v>
      </c>
      <c r="S18" s="236" t="e">
        <f>IF('[1]Исходные данные'!AZ16=1,'[1]Исходные данные'!AT16-4,IF('[1]Исходные данные'!AZ16=3,'[1]Исходные данные'!AT16-4,IF('[1]Исходные данные'!AZ16=2,"---",IF('[1]Исходные данные'!AZ16=4,"---",))))</f>
        <v>#REF!</v>
      </c>
      <c r="T18" s="237" t="e">
        <f>'[1]Труматик гермики'!BF17</f>
        <v>#REF!</v>
      </c>
      <c r="U18" s="226">
        <f t="shared" si="3"/>
        <v>0</v>
      </c>
      <c r="V18" s="262"/>
      <c r="W18" s="461"/>
      <c r="AG18" s="4">
        <f t="shared" si="4"/>
        <v>0</v>
      </c>
      <c r="AH18" s="4">
        <f t="shared" si="5"/>
        <v>0</v>
      </c>
      <c r="AI18" s="4">
        <f t="shared" si="6"/>
        <v>0</v>
      </c>
      <c r="AJ18" s="4">
        <f t="shared" si="9"/>
        <v>0</v>
      </c>
    </row>
    <row r="19" spans="3:36" ht="33" customHeight="1" thickBot="1">
      <c r="C19" s="475"/>
      <c r="D19" s="461"/>
      <c r="E19" s="476"/>
      <c r="F19" s="235">
        <f t="shared" si="8"/>
        <v>8</v>
      </c>
      <c r="G19" s="247">
        <f>'Исходные данные'!B24</f>
        <v>0</v>
      </c>
      <c r="H19" s="231" t="e">
        <f>'[1]Исходные данные'!AP17</f>
        <v>#REF!</v>
      </c>
      <c r="I19" s="232">
        <f>'[1]Исходные данные'!AQ17</f>
        <v>0</v>
      </c>
      <c r="J19" s="232">
        <f>'[1]Исходные данные'!AS17</f>
        <v>0</v>
      </c>
      <c r="K19" s="232">
        <f>'Исходные данные'!G24</f>
        <v>0</v>
      </c>
      <c r="L19" s="232">
        <f>'Исходные данные'!H24</f>
        <v>0</v>
      </c>
      <c r="M19" s="232" t="str">
        <f>'Исходные данные'!M24</f>
        <v>-</v>
      </c>
      <c r="N19" s="232">
        <f>'Исходные данные'!L24</f>
        <v>0</v>
      </c>
      <c r="O19" s="232">
        <f t="shared" si="0"/>
        <v>0</v>
      </c>
      <c r="P19" s="232">
        <f t="shared" si="1"/>
        <v>0</v>
      </c>
      <c r="Q19" s="232">
        <f t="shared" si="2"/>
        <v>-170</v>
      </c>
      <c r="R19" s="232">
        <f>'Исходные данные'!S24</f>
        <v>0</v>
      </c>
      <c r="S19" s="236" t="e">
        <f>IF('[1]Исходные данные'!AZ17=1,'[1]Исходные данные'!AT17-4,IF('[1]Исходные данные'!AZ17=3,'[1]Исходные данные'!AT17-4,IF('[1]Исходные данные'!AZ17=2,"---",IF('[1]Исходные данные'!AZ17=4,"---",))))</f>
        <v>#REF!</v>
      </c>
      <c r="T19" s="237" t="e">
        <f>'[1]Труматик гермики'!BF18</f>
        <v>#REF!</v>
      </c>
      <c r="U19" s="226">
        <f t="shared" si="3"/>
        <v>0</v>
      </c>
      <c r="V19" s="262"/>
      <c r="W19" s="461"/>
      <c r="AG19" s="4">
        <f t="shared" si="4"/>
        <v>0</v>
      </c>
      <c r="AH19" s="4">
        <f t="shared" si="5"/>
        <v>0</v>
      </c>
      <c r="AI19" s="4">
        <f t="shared" si="6"/>
        <v>0</v>
      </c>
      <c r="AJ19" s="4">
        <f t="shared" si="9"/>
        <v>0</v>
      </c>
    </row>
    <row r="20" spans="3:36" ht="33" customHeight="1" thickBot="1">
      <c r="C20" s="475"/>
      <c r="D20" s="461"/>
      <c r="E20" s="476"/>
      <c r="F20" s="235">
        <f t="shared" si="8"/>
        <v>9</v>
      </c>
      <c r="G20" s="247">
        <f>'Исходные данные'!B25</f>
        <v>0</v>
      </c>
      <c r="H20" s="231" t="e">
        <f>'[1]Исходные данные'!AP18</f>
        <v>#REF!</v>
      </c>
      <c r="I20" s="232">
        <f>'[1]Исходные данные'!AQ18</f>
        <v>0</v>
      </c>
      <c r="J20" s="232">
        <f>'[1]Исходные данные'!AS18</f>
        <v>0</v>
      </c>
      <c r="K20" s="232">
        <f>'Исходные данные'!G25</f>
        <v>0</v>
      </c>
      <c r="L20" s="232">
        <f>'Исходные данные'!H25</f>
        <v>0</v>
      </c>
      <c r="M20" s="232" t="str">
        <f>'Исходные данные'!M25</f>
        <v>-</v>
      </c>
      <c r="N20" s="232">
        <f>'Исходные данные'!L25</f>
        <v>0</v>
      </c>
      <c r="O20" s="232">
        <f t="shared" si="0"/>
        <v>0</v>
      </c>
      <c r="P20" s="232">
        <f t="shared" si="1"/>
        <v>0</v>
      </c>
      <c r="Q20" s="232">
        <f t="shared" si="2"/>
        <v>-170</v>
      </c>
      <c r="R20" s="232">
        <f>'Исходные данные'!S25</f>
        <v>0</v>
      </c>
      <c r="S20" s="236" t="e">
        <f>IF('[1]Исходные данные'!AZ18=1,'[1]Исходные данные'!AT18-4,IF('[1]Исходные данные'!AZ18=3,'[1]Исходные данные'!AT18-4,IF('[1]Исходные данные'!AZ18=2,"---",IF('[1]Исходные данные'!AZ18=4,"---",))))</f>
        <v>#REF!</v>
      </c>
      <c r="T20" s="237" t="e">
        <f>'[1]Труматик гермики'!BF19</f>
        <v>#REF!</v>
      </c>
      <c r="U20" s="226">
        <f t="shared" si="3"/>
        <v>0</v>
      </c>
      <c r="V20" s="262"/>
      <c r="W20" s="461"/>
      <c r="AG20" s="4">
        <f t="shared" si="4"/>
        <v>0</v>
      </c>
      <c r="AH20" s="4">
        <f t="shared" si="5"/>
        <v>0</v>
      </c>
      <c r="AI20" s="4">
        <f t="shared" si="6"/>
        <v>0</v>
      </c>
      <c r="AJ20" s="4">
        <f t="shared" si="9"/>
        <v>0</v>
      </c>
    </row>
    <row r="21" spans="3:36" ht="33" customHeight="1" thickBot="1">
      <c r="C21" s="475"/>
      <c r="D21" s="461"/>
      <c r="E21" s="476"/>
      <c r="F21" s="235">
        <f t="shared" si="8"/>
        <v>10</v>
      </c>
      <c r="G21" s="247">
        <f>'Исходные данные'!B26</f>
        <v>0</v>
      </c>
      <c r="H21" s="231" t="e">
        <f>'[1]Исходные данные'!AP19</f>
        <v>#REF!</v>
      </c>
      <c r="I21" s="232">
        <f>'[1]Исходные данные'!AQ19</f>
        <v>0</v>
      </c>
      <c r="J21" s="232">
        <f>'[1]Исходные данные'!AS19</f>
        <v>0</v>
      </c>
      <c r="K21" s="232">
        <f>'Исходные данные'!G26</f>
        <v>0</v>
      </c>
      <c r="L21" s="232">
        <f>'Исходные данные'!H26</f>
        <v>0</v>
      </c>
      <c r="M21" s="232" t="str">
        <f>'Исходные данные'!M26</f>
        <v>-</v>
      </c>
      <c r="N21" s="232">
        <f>'Исходные данные'!L26</f>
        <v>0</v>
      </c>
      <c r="O21" s="232">
        <f t="shared" si="0"/>
        <v>0</v>
      </c>
      <c r="P21" s="232">
        <f t="shared" si="1"/>
        <v>0</v>
      </c>
      <c r="Q21" s="232">
        <f t="shared" si="2"/>
        <v>-170</v>
      </c>
      <c r="R21" s="232">
        <f>'Исходные данные'!S26</f>
        <v>0</v>
      </c>
      <c r="S21" s="236" t="e">
        <f>IF('[1]Исходные данные'!AZ19=1,'[1]Исходные данные'!AT19-4,IF('[1]Исходные данные'!AZ19=3,'[1]Исходные данные'!AT19-4,IF('[1]Исходные данные'!AZ19=2,"---",IF('[1]Исходные данные'!AZ19=4,"---",))))</f>
        <v>#REF!</v>
      </c>
      <c r="T21" s="237" t="e">
        <f>'[1]Труматик гермики'!BF20</f>
        <v>#REF!</v>
      </c>
      <c r="U21" s="226">
        <f t="shared" si="3"/>
        <v>0</v>
      </c>
      <c r="V21" s="263"/>
      <c r="W21" s="461"/>
      <c r="AG21" s="4">
        <f t="shared" si="4"/>
        <v>0</v>
      </c>
      <c r="AH21" s="4">
        <f t="shared" si="5"/>
        <v>0</v>
      </c>
      <c r="AI21" s="4">
        <f t="shared" si="6"/>
        <v>0</v>
      </c>
      <c r="AJ21" s="4">
        <f t="shared" si="9"/>
        <v>0</v>
      </c>
    </row>
    <row r="22" spans="3:36" ht="21" customHeight="1" thickBot="1">
      <c r="C22" s="475"/>
      <c r="D22" s="461"/>
      <c r="E22" s="476"/>
      <c r="F22" s="235">
        <f t="shared" si="8"/>
        <v>11</v>
      </c>
      <c r="G22" s="247">
        <f>'Исходные данные'!B27</f>
        <v>0</v>
      </c>
      <c r="H22" s="231" t="e">
        <f>'[1]Исходные данные'!AP20</f>
        <v>#REF!</v>
      </c>
      <c r="I22" s="232">
        <f>'[1]Исходные данные'!AQ20</f>
        <v>0</v>
      </c>
      <c r="J22" s="232">
        <f>'[1]Исходные данные'!AS20</f>
        <v>0</v>
      </c>
      <c r="K22" s="232">
        <f>'Исходные данные'!G27</f>
        <v>0</v>
      </c>
      <c r="L22" s="232">
        <f>'Исходные данные'!H27</f>
        <v>0</v>
      </c>
      <c r="M22" s="232" t="str">
        <f>'Исходные данные'!M27</f>
        <v>-</v>
      </c>
      <c r="N22" s="232">
        <f>'Исходные данные'!L27</f>
        <v>0</v>
      </c>
      <c r="O22" s="232">
        <f t="shared" si="0"/>
        <v>0</v>
      </c>
      <c r="P22" s="232">
        <f t="shared" si="1"/>
        <v>0</v>
      </c>
      <c r="Q22" s="232">
        <f t="shared" si="2"/>
        <v>-170</v>
      </c>
      <c r="R22" s="232">
        <f>'Исходные данные'!S27</f>
        <v>0</v>
      </c>
      <c r="S22" s="236" t="e">
        <f>IF('[1]Исходные данные'!AZ20=1,'[1]Исходные данные'!AT20-4,IF('[1]Исходные данные'!AZ20=3,'[1]Исходные данные'!AT20-4,IF('[1]Исходные данные'!AZ20=2,"---",IF('[1]Исходные данные'!AZ20=4,"---",))))</f>
        <v>#REF!</v>
      </c>
      <c r="T22" s="237" t="e">
        <f>'[1]Труматик гермики'!BF21</f>
        <v>#REF!</v>
      </c>
      <c r="U22" s="226">
        <f t="shared" si="3"/>
        <v>0</v>
      </c>
      <c r="V22" s="263"/>
      <c r="W22" s="461"/>
      <c r="AG22" s="4">
        <f t="shared" si="4"/>
        <v>0</v>
      </c>
      <c r="AH22" s="4">
        <f t="shared" si="5"/>
        <v>0</v>
      </c>
      <c r="AI22" s="4">
        <f t="shared" si="6"/>
        <v>0</v>
      </c>
      <c r="AJ22" s="4">
        <f t="shared" si="9"/>
        <v>0</v>
      </c>
    </row>
    <row r="23" spans="3:36" ht="21" customHeight="1" thickBot="1">
      <c r="C23" s="475"/>
      <c r="D23" s="461"/>
      <c r="E23" s="476"/>
      <c r="F23" s="235">
        <f t="shared" si="8"/>
        <v>12</v>
      </c>
      <c r="G23" s="247">
        <f>'Исходные данные'!B28</f>
        <v>0</v>
      </c>
      <c r="H23" s="231" t="e">
        <f>'[1]Исходные данные'!AP21</f>
        <v>#REF!</v>
      </c>
      <c r="I23" s="232">
        <f>'[1]Исходные данные'!AQ21</f>
        <v>0</v>
      </c>
      <c r="J23" s="232">
        <f>'[1]Исходные данные'!AS21</f>
        <v>0</v>
      </c>
      <c r="K23" s="232">
        <f>'Исходные данные'!G28</f>
        <v>0</v>
      </c>
      <c r="L23" s="232">
        <f>'Исходные данные'!H28</f>
        <v>0</v>
      </c>
      <c r="M23" s="232" t="str">
        <f>'Исходные данные'!M28</f>
        <v>-</v>
      </c>
      <c r="N23" s="232">
        <f>'Исходные данные'!L28</f>
        <v>0</v>
      </c>
      <c r="O23" s="232">
        <f t="shared" si="0"/>
        <v>0</v>
      </c>
      <c r="P23" s="232">
        <f t="shared" si="1"/>
        <v>0</v>
      </c>
      <c r="Q23" s="232">
        <f t="shared" si="2"/>
        <v>-170</v>
      </c>
      <c r="R23" s="232">
        <f>'Исходные данные'!S28</f>
        <v>0</v>
      </c>
      <c r="S23" s="236" t="e">
        <f>IF('[1]Исходные данные'!AZ21=1,'[1]Исходные данные'!AT21-4,IF('[1]Исходные данные'!AZ21=3,'[1]Исходные данные'!AT21-4,IF('[1]Исходные данные'!AZ21=2,"---",IF('[1]Исходные данные'!AZ21=4,"---",))))</f>
        <v>#REF!</v>
      </c>
      <c r="T23" s="237" t="e">
        <f>'[1]Труматик гермики'!BF22</f>
        <v>#REF!</v>
      </c>
      <c r="U23" s="226">
        <f t="shared" si="3"/>
        <v>0</v>
      </c>
      <c r="V23" s="263"/>
      <c r="W23" s="461"/>
      <c r="AG23" s="4">
        <f t="shared" si="4"/>
        <v>0</v>
      </c>
      <c r="AH23" s="4">
        <f t="shared" si="5"/>
        <v>0</v>
      </c>
      <c r="AI23" s="4">
        <f t="shared" si="6"/>
        <v>0</v>
      </c>
      <c r="AJ23" s="4">
        <f t="shared" si="9"/>
        <v>0</v>
      </c>
    </row>
    <row r="24" spans="3:36" ht="21" customHeight="1" thickBot="1">
      <c r="C24" s="475"/>
      <c r="D24" s="461"/>
      <c r="E24" s="229"/>
      <c r="F24" s="235">
        <f t="shared" si="8"/>
        <v>13</v>
      </c>
      <c r="G24" s="247">
        <f>'Исходные данные'!B29</f>
        <v>0</v>
      </c>
      <c r="H24" s="231" t="e">
        <f>'[1]Исходные данные'!AP22</f>
        <v>#REF!</v>
      </c>
      <c r="I24" s="232">
        <f>'[1]Исходные данные'!AQ22</f>
        <v>0</v>
      </c>
      <c r="J24" s="232">
        <f>'[1]Исходные данные'!AS22</f>
        <v>0</v>
      </c>
      <c r="K24" s="232">
        <f>'Исходные данные'!G29</f>
        <v>0</v>
      </c>
      <c r="L24" s="232">
        <f>'Исходные данные'!H29</f>
        <v>0</v>
      </c>
      <c r="M24" s="232" t="str">
        <f>'Исходные данные'!M29</f>
        <v>-</v>
      </c>
      <c r="N24" s="232">
        <f>'Исходные данные'!L29</f>
        <v>0</v>
      </c>
      <c r="O24" s="232">
        <f t="shared" si="0"/>
        <v>0</v>
      </c>
      <c r="P24" s="232">
        <f t="shared" si="1"/>
        <v>0</v>
      </c>
      <c r="Q24" s="232">
        <f t="shared" si="2"/>
        <v>-170</v>
      </c>
      <c r="R24" s="232">
        <f>'Исходные данные'!S29</f>
        <v>0</v>
      </c>
      <c r="S24" s="236" t="e">
        <f>IF('[1]Исходные данные'!AZ22=1,'[1]Исходные данные'!AT22-4,IF('[1]Исходные данные'!AZ22=3,'[1]Исходные данные'!AT22-4,IF('[1]Исходные данные'!AZ22=2,"---",IF('[1]Исходные данные'!AZ22=4,"---",))))</f>
        <v>#REF!</v>
      </c>
      <c r="T24" s="237" t="e">
        <f>'[1]Труматик гермики'!BF23</f>
        <v>#REF!</v>
      </c>
      <c r="U24" s="226">
        <f t="shared" si="3"/>
        <v>0</v>
      </c>
      <c r="V24" s="263"/>
      <c r="W24" s="461"/>
      <c r="AG24" s="4">
        <f t="shared" si="4"/>
        <v>0</v>
      </c>
      <c r="AH24" s="4">
        <f t="shared" si="5"/>
        <v>0</v>
      </c>
      <c r="AI24" s="4">
        <f t="shared" si="6"/>
        <v>0</v>
      </c>
      <c r="AJ24" s="4">
        <f t="shared" si="9"/>
        <v>0</v>
      </c>
    </row>
    <row r="25" spans="3:36" ht="21" customHeight="1" thickBot="1">
      <c r="C25" s="475"/>
      <c r="D25" s="461"/>
      <c r="E25" s="229"/>
      <c r="F25" s="235">
        <f t="shared" si="8"/>
        <v>14</v>
      </c>
      <c r="G25" s="247">
        <f>'Исходные данные'!B30</f>
        <v>0</v>
      </c>
      <c r="H25" s="231" t="e">
        <f>'[1]Исходные данные'!AP23</f>
        <v>#REF!</v>
      </c>
      <c r="I25" s="232">
        <f>'[1]Исходные данные'!AQ23</f>
        <v>0</v>
      </c>
      <c r="J25" s="232">
        <f>'[1]Исходные данные'!AS23</f>
        <v>0</v>
      </c>
      <c r="K25" s="232">
        <f>'Исходные данные'!G30</f>
        <v>0</v>
      </c>
      <c r="L25" s="232">
        <f>'Исходные данные'!H30</f>
        <v>0</v>
      </c>
      <c r="M25" s="232" t="str">
        <f>'Исходные данные'!M30</f>
        <v>-</v>
      </c>
      <c r="N25" s="232">
        <f>'Исходные данные'!L30</f>
        <v>0</v>
      </c>
      <c r="O25" s="232">
        <f t="shared" si="0"/>
        <v>0</v>
      </c>
      <c r="P25" s="232">
        <f t="shared" si="1"/>
        <v>0</v>
      </c>
      <c r="Q25" s="232">
        <f t="shared" si="2"/>
        <v>-170</v>
      </c>
      <c r="R25" s="232">
        <f>'Исходные данные'!S30</f>
        <v>0</v>
      </c>
      <c r="S25" s="236" t="e">
        <f>IF('[1]Исходные данные'!AZ23=1,'[1]Исходные данные'!AT23-4,IF('[1]Исходные данные'!AZ23=3,'[1]Исходные данные'!AT23-4,IF('[1]Исходные данные'!AZ23=2,"---",IF('[1]Исходные данные'!AZ23=4,"---",))))</f>
        <v>#REF!</v>
      </c>
      <c r="T25" s="237" t="e">
        <f>'[1]Труматик гермики'!BF24</f>
        <v>#REF!</v>
      </c>
      <c r="U25" s="226">
        <f t="shared" si="3"/>
        <v>0</v>
      </c>
      <c r="V25" s="263"/>
      <c r="W25" s="461"/>
      <c r="AG25" s="4">
        <f t="shared" si="4"/>
        <v>0</v>
      </c>
      <c r="AH25" s="4">
        <f t="shared" si="5"/>
        <v>0</v>
      </c>
      <c r="AI25" s="4">
        <f t="shared" si="6"/>
        <v>0</v>
      </c>
      <c r="AJ25" s="4">
        <f t="shared" si="9"/>
        <v>0</v>
      </c>
    </row>
    <row r="26" spans="3:36" ht="21" customHeight="1" thickBot="1">
      <c r="C26" s="475"/>
      <c r="D26" s="461"/>
      <c r="E26" s="229"/>
      <c r="F26" s="235">
        <f t="shared" si="8"/>
        <v>15</v>
      </c>
      <c r="G26" s="247">
        <f>'Исходные данные'!B31</f>
        <v>0</v>
      </c>
      <c r="H26" s="231" t="e">
        <f>'[1]Исходные данные'!AP24</f>
        <v>#REF!</v>
      </c>
      <c r="I26" s="232">
        <f>'[1]Исходные данные'!AQ24</f>
        <v>0</v>
      </c>
      <c r="J26" s="232">
        <f>'[1]Исходные данные'!AS24</f>
        <v>0</v>
      </c>
      <c r="K26" s="232">
        <f>'Исходные данные'!G31</f>
        <v>0</v>
      </c>
      <c r="L26" s="232">
        <f>'Исходные данные'!H31</f>
        <v>0</v>
      </c>
      <c r="M26" s="232" t="str">
        <f>'Исходные данные'!M31</f>
        <v>-</v>
      </c>
      <c r="N26" s="232">
        <f>'Исходные данные'!L31</f>
        <v>0</v>
      </c>
      <c r="O26" s="232">
        <f t="shared" si="0"/>
        <v>0</v>
      </c>
      <c r="P26" s="232">
        <f t="shared" si="1"/>
        <v>0</v>
      </c>
      <c r="Q26" s="232">
        <f t="shared" si="2"/>
        <v>-170</v>
      </c>
      <c r="R26" s="232">
        <f>'Исходные данные'!S31</f>
        <v>0</v>
      </c>
      <c r="S26" s="236" t="e">
        <f>IF('[1]Исходные данные'!AZ24=1,'[1]Исходные данные'!AT24-4,IF('[1]Исходные данные'!AZ24=3,'[1]Исходные данные'!AT24-4,IF('[1]Исходные данные'!AZ24=2,"---",IF('[1]Исходные данные'!AZ24=4,"---",))))</f>
        <v>#REF!</v>
      </c>
      <c r="T26" s="237" t="e">
        <f>'[1]Труматик гермики'!BF25</f>
        <v>#REF!</v>
      </c>
      <c r="U26" s="226">
        <f t="shared" si="3"/>
        <v>0</v>
      </c>
      <c r="V26" s="263"/>
      <c r="W26" s="461"/>
      <c r="AG26" s="4">
        <f t="shared" si="4"/>
        <v>0</v>
      </c>
      <c r="AH26" s="4">
        <f t="shared" si="5"/>
        <v>0</v>
      </c>
      <c r="AI26" s="4">
        <f t="shared" si="6"/>
        <v>0</v>
      </c>
      <c r="AJ26" s="4">
        <f t="shared" si="9"/>
        <v>0</v>
      </c>
    </row>
    <row r="27" spans="3:36">
      <c r="F27" s="240"/>
      <c r="G27" s="210"/>
      <c r="H27" s="210"/>
      <c r="I27" s="210"/>
      <c r="J27" s="210"/>
      <c r="K27" s="210"/>
      <c r="L27" s="210"/>
      <c r="M27" s="210"/>
      <c r="N27" s="210"/>
      <c r="O27" s="246"/>
      <c r="P27" s="210"/>
      <c r="Q27" s="211"/>
      <c r="R27" s="241"/>
      <c r="S27" s="242"/>
      <c r="T27" s="242"/>
      <c r="AG27" s="319"/>
      <c r="AH27" s="319"/>
      <c r="AI27" s="319"/>
      <c r="AJ27">
        <f>SUM(AJ12:AJ26)</f>
        <v>0</v>
      </c>
    </row>
    <row r="28" spans="3:36">
      <c r="F28" s="240"/>
      <c r="G28" s="210"/>
      <c r="H28" s="210"/>
      <c r="I28" s="210"/>
      <c r="J28" s="210"/>
      <c r="K28" s="210"/>
      <c r="L28" s="210"/>
      <c r="M28" s="210"/>
      <c r="N28" s="210"/>
      <c r="O28" s="246"/>
      <c r="P28" s="210"/>
      <c r="Q28" s="211"/>
      <c r="R28" s="210"/>
      <c r="S28" s="222"/>
      <c r="T28" s="222"/>
    </row>
    <row r="29" spans="3:36">
      <c r="F29" s="240"/>
      <c r="G29" s="210"/>
      <c r="H29" s="210"/>
      <c r="I29" s="210"/>
      <c r="J29" s="210"/>
      <c r="K29" s="210"/>
      <c r="L29" s="210"/>
      <c r="M29" s="210"/>
      <c r="N29" s="210"/>
      <c r="O29" s="246"/>
      <c r="P29" s="210"/>
      <c r="Q29" s="211"/>
      <c r="R29" s="210"/>
      <c r="S29" s="222"/>
      <c r="T29" s="222"/>
    </row>
    <row r="30" spans="3:36"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210"/>
      <c r="T30" s="210"/>
    </row>
    <row r="31" spans="3:36"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210"/>
      <c r="T31" s="210"/>
    </row>
    <row r="32" spans="3:36" ht="36.75" customHeight="1">
      <c r="E32" s="11"/>
      <c r="F32" s="11"/>
      <c r="G32" s="477" t="s">
        <v>265</v>
      </c>
      <c r="H32" s="477"/>
      <c r="I32" s="477"/>
      <c r="J32" s="477"/>
      <c r="K32" s="477"/>
      <c r="L32" s="477"/>
      <c r="M32" s="264">
        <f>AJ27</f>
        <v>0</v>
      </c>
      <c r="N32" s="243"/>
      <c r="O32" s="243"/>
      <c r="P32" s="6"/>
      <c r="Q32" s="6"/>
      <c r="R32" s="6"/>
      <c r="S32" s="444"/>
      <c r="T32" s="444"/>
    </row>
    <row r="33" spans="1:24" ht="36.75" customHeight="1">
      <c r="E33" s="11"/>
      <c r="F33" s="11"/>
      <c r="G33" s="477" t="s">
        <v>266</v>
      </c>
      <c r="H33" s="477"/>
      <c r="I33" s="477"/>
      <c r="J33" s="477"/>
      <c r="K33" s="477"/>
      <c r="L33" s="477"/>
      <c r="M33" s="318"/>
      <c r="N33" s="318"/>
      <c r="O33" s="318"/>
      <c r="P33" s="11"/>
      <c r="Q33" s="11"/>
      <c r="R33" s="11"/>
      <c r="S33" s="317"/>
      <c r="T33" s="317"/>
    </row>
    <row r="34" spans="1:24">
      <c r="E34" s="11"/>
      <c r="F34" s="11"/>
      <c r="G34" s="11" t="s">
        <v>224</v>
      </c>
      <c r="H34" s="11"/>
      <c r="I34" s="11"/>
      <c r="P34" s="11"/>
      <c r="Q34" s="11"/>
      <c r="R34" s="11"/>
      <c r="S34" s="11"/>
      <c r="T34" s="11"/>
    </row>
    <row r="35" spans="1:24" ht="18.75">
      <c r="F35" s="248"/>
      <c r="G35" s="249" t="s">
        <v>227</v>
      </c>
      <c r="H35" s="250"/>
      <c r="I35" s="250"/>
      <c r="J35" s="250"/>
      <c r="K35" s="250"/>
      <c r="L35" s="250"/>
      <c r="M35" s="250"/>
      <c r="N35" s="250"/>
      <c r="O35" s="250"/>
      <c r="P35" s="251"/>
      <c r="Q35" s="251"/>
      <c r="R35" s="251"/>
      <c r="S35" s="251"/>
      <c r="T35" s="251"/>
      <c r="U35" s="251"/>
      <c r="V35" s="252"/>
      <c r="W35" s="210"/>
    </row>
    <row r="36" spans="1:24" ht="19.5" thickBot="1">
      <c r="A36" s="266"/>
      <c r="B36" s="266"/>
      <c r="C36" s="266"/>
      <c r="D36" s="266"/>
      <c r="E36" s="266"/>
      <c r="F36" s="267"/>
      <c r="G36" s="268"/>
      <c r="H36" s="269"/>
      <c r="I36" s="269"/>
      <c r="J36" s="269"/>
      <c r="K36" s="269"/>
      <c r="L36" s="269"/>
      <c r="M36" s="269"/>
      <c r="N36" s="269"/>
      <c r="O36" s="269"/>
      <c r="P36" s="270"/>
      <c r="Q36" s="270"/>
      <c r="R36" s="270"/>
      <c r="S36" s="270"/>
      <c r="T36" s="270"/>
      <c r="U36" s="270"/>
      <c r="V36" s="269"/>
      <c r="W36" s="271"/>
      <c r="X36" s="266"/>
    </row>
    <row r="37" spans="1:24" ht="30.75" thickTop="1">
      <c r="F37" s="252"/>
      <c r="G37" s="248" t="s">
        <v>222</v>
      </c>
      <c r="H37" s="248"/>
      <c r="I37" s="248"/>
      <c r="J37" s="248"/>
      <c r="K37" s="248"/>
      <c r="L37" s="248"/>
      <c r="M37" s="248"/>
      <c r="N37" s="248"/>
      <c r="O37" s="248"/>
      <c r="P37" s="460">
        <f>C6</f>
        <v>2222</v>
      </c>
      <c r="Q37" s="460"/>
      <c r="R37" s="460"/>
      <c r="S37" s="460"/>
      <c r="T37" s="460"/>
      <c r="U37" s="253"/>
      <c r="V37" s="252"/>
      <c r="W37" s="46"/>
    </row>
    <row r="38" spans="1:24" ht="21">
      <c r="E38" s="11"/>
      <c r="F38" s="252"/>
      <c r="G38" s="248"/>
      <c r="H38" s="248"/>
      <c r="I38" s="248"/>
      <c r="J38" s="248"/>
      <c r="K38" s="248"/>
      <c r="L38" s="248"/>
      <c r="M38" s="248"/>
      <c r="N38" s="248"/>
      <c r="O38" s="248"/>
      <c r="P38" s="254"/>
      <c r="Q38" s="254"/>
      <c r="R38" s="254"/>
      <c r="S38" s="254"/>
      <c r="T38" s="254"/>
      <c r="U38" s="254"/>
      <c r="V38" s="252"/>
      <c r="W38" s="46"/>
    </row>
    <row r="39" spans="1:24" ht="35.25">
      <c r="E39" s="11"/>
      <c r="F39" s="255"/>
      <c r="G39" s="248" t="s">
        <v>223</v>
      </c>
      <c r="H39" s="248"/>
      <c r="I39" s="256">
        <f>P9</f>
        <v>0</v>
      </c>
      <c r="J39" s="248" t="s">
        <v>215</v>
      </c>
      <c r="K39" s="265">
        <f>SUM(U12:U26)</f>
        <v>0</v>
      </c>
      <c r="L39" s="248"/>
      <c r="M39" s="248"/>
      <c r="N39" s="248"/>
      <c r="O39" s="248"/>
      <c r="P39" s="254"/>
      <c r="Q39" s="254"/>
      <c r="R39" s="254"/>
      <c r="S39" s="254"/>
      <c r="T39" s="254"/>
      <c r="U39" s="254"/>
      <c r="V39" s="252"/>
      <c r="W39" s="34"/>
    </row>
    <row r="40" spans="1:24" ht="21">
      <c r="E40" s="11"/>
      <c r="F40" s="255"/>
      <c r="G40" s="248"/>
      <c r="H40" s="248"/>
      <c r="I40" s="248"/>
      <c r="J40" s="248"/>
      <c r="K40" s="248"/>
      <c r="L40" s="248"/>
      <c r="M40" s="248"/>
      <c r="N40" s="248" t="s">
        <v>216</v>
      </c>
      <c r="O40" s="248"/>
      <c r="P40" s="248"/>
      <c r="Q40" s="248"/>
      <c r="R40" s="248"/>
      <c r="S40" s="248"/>
      <c r="T40" s="254"/>
      <c r="U40" s="254"/>
      <c r="V40" s="252"/>
      <c r="W40" s="34"/>
    </row>
    <row r="41" spans="1:24" ht="21">
      <c r="E41" s="11"/>
      <c r="F41" s="255"/>
      <c r="G41" s="248"/>
      <c r="H41" s="248"/>
      <c r="I41" s="257">
        <f>J11</f>
        <v>0</v>
      </c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54"/>
      <c r="U41" s="254"/>
      <c r="V41" s="252"/>
      <c r="W41" s="34"/>
    </row>
    <row r="42" spans="1:24" ht="21">
      <c r="F42" s="255"/>
      <c r="G42" s="248"/>
      <c r="H42" s="248"/>
      <c r="I42" s="248"/>
      <c r="J42" s="248"/>
      <c r="K42" s="248"/>
      <c r="L42" s="248"/>
      <c r="M42" s="248"/>
      <c r="N42" s="248" t="s">
        <v>217</v>
      </c>
      <c r="O42" s="248"/>
      <c r="P42" s="248"/>
      <c r="Q42" s="248"/>
      <c r="R42" s="248"/>
      <c r="S42" s="248"/>
      <c r="T42" s="254"/>
      <c r="U42" s="254"/>
      <c r="V42" s="252"/>
      <c r="W42" s="34"/>
    </row>
    <row r="43" spans="1:24" ht="21">
      <c r="F43" s="255"/>
      <c r="G43" s="248"/>
      <c r="H43" s="248"/>
      <c r="I43" s="248"/>
      <c r="J43" s="248" t="s">
        <v>216</v>
      </c>
      <c r="K43" s="248"/>
      <c r="L43" s="248"/>
      <c r="M43" s="248"/>
      <c r="N43" s="248"/>
      <c r="O43" s="248"/>
      <c r="P43" s="248"/>
      <c r="Q43" s="248"/>
      <c r="R43" s="248"/>
      <c r="S43" s="248"/>
      <c r="T43" s="254"/>
      <c r="U43" s="254"/>
      <c r="V43" s="252"/>
      <c r="W43" s="34"/>
    </row>
    <row r="44" spans="1:24" ht="18.75" hidden="1">
      <c r="F44" s="255"/>
      <c r="G44" s="248"/>
      <c r="H44" s="248"/>
      <c r="I44" s="248"/>
      <c r="J44" s="248"/>
      <c r="K44" s="248"/>
      <c r="L44" s="248"/>
      <c r="M44" s="248"/>
      <c r="N44" s="248"/>
      <c r="O44" s="248"/>
      <c r="P44" s="254"/>
      <c r="Q44" s="254"/>
      <c r="R44" s="254"/>
      <c r="S44" s="254"/>
      <c r="T44" s="254"/>
      <c r="U44" s="254"/>
      <c r="V44" s="252"/>
    </row>
    <row r="45" spans="1:24" ht="18.75" hidden="1">
      <c r="F45" s="255"/>
      <c r="G45" s="248"/>
      <c r="H45" s="248"/>
      <c r="I45" s="248"/>
      <c r="J45" s="248" t="s">
        <v>217</v>
      </c>
      <c r="K45" s="248"/>
      <c r="L45" s="248"/>
      <c r="M45" s="248"/>
      <c r="N45" s="248"/>
      <c r="O45" s="248"/>
      <c r="P45" s="254"/>
      <c r="Q45" s="254"/>
      <c r="R45" s="254"/>
      <c r="S45" s="254"/>
      <c r="T45" s="254"/>
      <c r="U45" s="254"/>
      <c r="V45" s="252"/>
    </row>
    <row r="46" spans="1:24" ht="18.75" hidden="1">
      <c r="F46" s="255"/>
      <c r="G46" s="248"/>
      <c r="H46" s="248"/>
      <c r="I46" s="248"/>
      <c r="J46" s="248"/>
      <c r="K46" s="248"/>
      <c r="L46" s="248"/>
      <c r="M46" s="248"/>
      <c r="N46" s="248"/>
      <c r="O46" s="248"/>
      <c r="P46" s="254"/>
      <c r="Q46" s="254"/>
      <c r="R46" s="254"/>
      <c r="S46" s="254"/>
      <c r="T46" s="254"/>
      <c r="U46" s="254"/>
      <c r="V46" s="252"/>
    </row>
    <row r="47" spans="1:24" ht="18.75" hidden="1">
      <c r="F47" s="255"/>
      <c r="G47" s="248"/>
      <c r="H47" s="248"/>
      <c r="I47" s="248"/>
      <c r="J47" s="248"/>
      <c r="K47" s="248"/>
      <c r="L47" s="248"/>
      <c r="M47" s="248"/>
      <c r="N47" s="248"/>
      <c r="O47" s="248"/>
      <c r="P47" s="254"/>
      <c r="Q47" s="254"/>
      <c r="R47" s="254"/>
      <c r="S47" s="254"/>
      <c r="T47" s="254"/>
      <c r="U47" s="254"/>
      <c r="V47" s="252"/>
    </row>
    <row r="48" spans="1:24" ht="18.75">
      <c r="F48" s="255"/>
      <c r="G48" s="248" t="s">
        <v>218</v>
      </c>
      <c r="H48" s="248"/>
      <c r="I48" s="248"/>
      <c r="J48" s="248"/>
      <c r="K48" s="248"/>
      <c r="L48" s="248"/>
      <c r="M48" s="248"/>
      <c r="N48" s="248"/>
      <c r="O48" s="248"/>
      <c r="P48" s="254"/>
      <c r="Q48" s="254"/>
      <c r="R48" s="254"/>
      <c r="S48" s="254"/>
      <c r="T48" s="254"/>
      <c r="U48" s="254"/>
      <c r="V48" s="252"/>
    </row>
    <row r="49" spans="6:22"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58"/>
      <c r="T49" s="258"/>
      <c r="U49" s="258"/>
      <c r="V49" s="258"/>
    </row>
    <row r="50" spans="6:22" ht="18.75">
      <c r="F50" s="248" t="s">
        <v>213</v>
      </c>
      <c r="G50" s="249"/>
      <c r="H50" s="250"/>
      <c r="I50" s="250"/>
      <c r="J50" s="250"/>
      <c r="K50" s="250"/>
      <c r="L50" s="250"/>
      <c r="M50" s="250"/>
      <c r="N50" s="250"/>
      <c r="O50" s="250"/>
      <c r="P50" s="251"/>
      <c r="Q50" s="251"/>
      <c r="R50" s="251"/>
      <c r="S50" s="251"/>
      <c r="T50" s="251"/>
      <c r="U50" s="251"/>
      <c r="V50" s="252"/>
    </row>
    <row r="51" spans="6:22" ht="30">
      <c r="F51" s="252"/>
      <c r="G51" s="248" t="s">
        <v>222</v>
      </c>
      <c r="H51" s="248"/>
      <c r="I51" s="248"/>
      <c r="J51" s="248"/>
      <c r="K51" s="248"/>
      <c r="L51" s="248"/>
      <c r="M51" s="248"/>
      <c r="N51" s="248"/>
      <c r="O51" s="248"/>
      <c r="P51" s="460">
        <f>P37</f>
        <v>2222</v>
      </c>
      <c r="Q51" s="460"/>
      <c r="R51" s="460"/>
      <c r="S51" s="460"/>
      <c r="T51" s="460"/>
      <c r="U51" s="253"/>
      <c r="V51" s="252"/>
    </row>
    <row r="52" spans="6:22" ht="18.75">
      <c r="F52" s="252"/>
      <c r="G52" s="248"/>
      <c r="H52" s="248"/>
      <c r="I52" s="248"/>
      <c r="J52" s="248"/>
      <c r="K52" s="248"/>
      <c r="L52" s="248"/>
      <c r="M52" s="248"/>
      <c r="N52" s="248"/>
      <c r="O52" s="248"/>
      <c r="P52" s="254"/>
      <c r="Q52" s="254"/>
      <c r="R52" s="254"/>
      <c r="S52" s="254"/>
      <c r="T52" s="254"/>
      <c r="U52" s="254"/>
      <c r="V52" s="252"/>
    </row>
    <row r="53" spans="6:22" ht="35.25">
      <c r="F53" s="255"/>
      <c r="G53" s="248" t="s">
        <v>214</v>
      </c>
      <c r="H53" s="248"/>
      <c r="I53" s="256">
        <f>P9</f>
        <v>0</v>
      </c>
      <c r="J53" s="248" t="s">
        <v>215</v>
      </c>
      <c r="K53" s="248"/>
      <c r="L53" s="265">
        <f>K39</f>
        <v>0</v>
      </c>
      <c r="M53" s="248"/>
      <c r="N53" s="248"/>
      <c r="O53" s="248"/>
      <c r="P53" s="254"/>
      <c r="Q53" s="254"/>
      <c r="R53" s="254"/>
      <c r="S53" s="254"/>
      <c r="T53" s="254"/>
      <c r="U53" s="254"/>
      <c r="V53" s="252"/>
    </row>
    <row r="54" spans="6:22" ht="18.75">
      <c r="F54" s="255"/>
      <c r="G54" s="248"/>
      <c r="H54" s="248"/>
      <c r="I54" s="248"/>
      <c r="J54" s="248"/>
      <c r="K54" s="248"/>
      <c r="L54" s="248"/>
      <c r="M54" s="248"/>
      <c r="N54" s="248"/>
      <c r="O54" s="248"/>
      <c r="P54" s="254"/>
      <c r="Q54" s="254"/>
      <c r="R54" s="254"/>
      <c r="S54" s="254"/>
      <c r="T54" s="254"/>
      <c r="U54" s="254"/>
      <c r="V54" s="252"/>
    </row>
    <row r="55" spans="6:22" ht="20.25">
      <c r="F55" s="255"/>
      <c r="G55" s="248"/>
      <c r="H55" s="248"/>
      <c r="I55" s="257">
        <f>J11</f>
        <v>0</v>
      </c>
      <c r="J55" s="248"/>
      <c r="K55" s="248"/>
      <c r="L55" s="248"/>
      <c r="M55" s="248"/>
      <c r="N55" s="248" t="s">
        <v>216</v>
      </c>
      <c r="O55" s="248"/>
      <c r="P55" s="248"/>
      <c r="Q55" s="248"/>
      <c r="R55" s="248"/>
      <c r="S55" s="254"/>
      <c r="T55" s="254"/>
      <c r="U55" s="254"/>
      <c r="V55" s="252"/>
    </row>
    <row r="56" spans="6:22" ht="18.75">
      <c r="F56" s="255"/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54"/>
      <c r="T56" s="254"/>
      <c r="U56" s="254"/>
      <c r="V56" s="252"/>
    </row>
    <row r="57" spans="6:22" ht="18.75">
      <c r="F57" s="255"/>
      <c r="G57" s="248"/>
      <c r="H57" s="248"/>
      <c r="I57" s="248"/>
      <c r="J57" s="248" t="s">
        <v>216</v>
      </c>
      <c r="K57" s="248"/>
      <c r="L57" s="248"/>
      <c r="M57" s="248"/>
      <c r="N57" s="248" t="s">
        <v>225</v>
      </c>
      <c r="O57" s="248"/>
      <c r="P57" s="248"/>
      <c r="Q57" s="248"/>
      <c r="R57" s="248"/>
      <c r="S57" s="254"/>
      <c r="T57" s="254"/>
      <c r="U57" s="254"/>
      <c r="V57" s="252"/>
    </row>
    <row r="58" spans="6:22" ht="18.75">
      <c r="F58" s="255"/>
      <c r="G58" s="248"/>
      <c r="H58" s="248"/>
      <c r="I58" s="248"/>
      <c r="J58" s="248"/>
      <c r="K58" s="248"/>
      <c r="L58" s="248"/>
      <c r="M58" s="248"/>
      <c r="N58" s="248"/>
      <c r="O58" s="248"/>
      <c r="P58" s="254"/>
      <c r="Q58" s="254"/>
      <c r="R58" s="254"/>
      <c r="S58" s="254"/>
      <c r="T58" s="254"/>
      <c r="U58" s="254"/>
      <c r="V58" s="252"/>
    </row>
    <row r="59" spans="6:22" ht="18.75">
      <c r="F59" s="255"/>
      <c r="G59" s="248"/>
      <c r="H59" s="248"/>
      <c r="I59" s="248"/>
      <c r="J59" s="248" t="s">
        <v>219</v>
      </c>
      <c r="K59" s="248"/>
      <c r="L59" s="248"/>
      <c r="M59" s="248"/>
      <c r="N59" s="248"/>
      <c r="O59" s="248"/>
      <c r="P59" s="254"/>
      <c r="Q59" s="254"/>
      <c r="R59" s="254"/>
      <c r="S59" s="254"/>
      <c r="T59" s="254"/>
      <c r="U59" s="254"/>
      <c r="V59" s="252"/>
    </row>
    <row r="60" spans="6:22" ht="18.75">
      <c r="F60" s="255"/>
      <c r="G60" s="248"/>
      <c r="H60" s="248"/>
      <c r="I60" s="248"/>
      <c r="J60" s="248"/>
      <c r="K60" s="248"/>
      <c r="L60" s="248"/>
      <c r="M60" s="248"/>
      <c r="N60" s="248"/>
      <c r="O60" s="248"/>
      <c r="P60" s="254"/>
      <c r="Q60" s="254"/>
      <c r="R60" s="254"/>
      <c r="S60" s="254"/>
      <c r="T60" s="254"/>
      <c r="U60" s="254"/>
      <c r="V60" s="252"/>
    </row>
    <row r="61" spans="6:22" ht="18.75">
      <c r="F61" s="255"/>
      <c r="G61" s="248" t="s">
        <v>218</v>
      </c>
      <c r="H61" s="248"/>
      <c r="I61" s="248"/>
      <c r="J61" s="248"/>
      <c r="K61" s="248"/>
      <c r="L61" s="248"/>
      <c r="M61" s="248"/>
      <c r="N61" s="248"/>
      <c r="O61" s="248"/>
      <c r="P61" s="254"/>
      <c r="Q61" s="254"/>
      <c r="R61" s="254"/>
      <c r="S61" s="254"/>
      <c r="T61" s="254"/>
      <c r="U61" s="254"/>
      <c r="V61" s="252"/>
    </row>
    <row r="62" spans="6:22">
      <c r="F62" s="258"/>
      <c r="G62" s="258"/>
      <c r="H62" s="258"/>
      <c r="I62" s="258"/>
      <c r="J62" s="258"/>
      <c r="K62" s="258"/>
      <c r="L62" s="258"/>
      <c r="M62" s="258"/>
      <c r="N62" s="258"/>
      <c r="O62" s="258"/>
      <c r="P62" s="258"/>
      <c r="Q62" s="258"/>
      <c r="R62" s="258"/>
      <c r="S62" s="258"/>
      <c r="T62" s="258"/>
      <c r="U62" s="258"/>
      <c r="V62" s="258"/>
    </row>
    <row r="63" spans="6:22" ht="18.75">
      <c r="F63" s="248" t="s">
        <v>213</v>
      </c>
      <c r="G63" s="249"/>
      <c r="H63" s="250"/>
      <c r="I63" s="250"/>
      <c r="J63" s="250"/>
      <c r="K63" s="250"/>
      <c r="L63" s="250"/>
      <c r="M63" s="250"/>
      <c r="N63" s="250"/>
      <c r="O63" s="250"/>
      <c r="P63" s="251"/>
      <c r="Q63" s="251"/>
      <c r="R63" s="251"/>
      <c r="S63" s="251"/>
      <c r="T63" s="251"/>
      <c r="U63" s="251"/>
      <c r="V63" s="252"/>
    </row>
    <row r="64" spans="6:22" ht="30">
      <c r="F64" s="252"/>
      <c r="G64" s="248" t="s">
        <v>222</v>
      </c>
      <c r="H64" s="248"/>
      <c r="I64" s="248"/>
      <c r="J64" s="248"/>
      <c r="K64" s="248"/>
      <c r="L64" s="248"/>
      <c r="M64" s="248"/>
      <c r="N64" s="248"/>
      <c r="O64" s="248"/>
      <c r="P64" s="460">
        <f>P51</f>
        <v>2222</v>
      </c>
      <c r="Q64" s="460"/>
      <c r="R64" s="460"/>
      <c r="S64" s="460"/>
      <c r="T64" s="460"/>
      <c r="U64" s="253"/>
      <c r="V64" s="252"/>
    </row>
    <row r="65" spans="6:22" ht="18.75">
      <c r="F65" s="252"/>
      <c r="G65" s="248"/>
      <c r="H65" s="248"/>
      <c r="I65" s="248"/>
      <c r="J65" s="248"/>
      <c r="K65" s="248"/>
      <c r="L65" s="248"/>
      <c r="M65" s="248"/>
      <c r="N65" s="248"/>
      <c r="O65" s="248"/>
      <c r="P65" s="254"/>
      <c r="Q65" s="254"/>
      <c r="R65" s="254"/>
      <c r="S65" s="254"/>
      <c r="T65" s="254"/>
      <c r="U65" s="254"/>
      <c r="V65" s="252"/>
    </row>
    <row r="66" spans="6:22" ht="35.25">
      <c r="F66" s="255"/>
      <c r="G66" s="248" t="s">
        <v>214</v>
      </c>
      <c r="H66" s="248"/>
      <c r="I66" s="256">
        <f>P22</f>
        <v>0</v>
      </c>
      <c r="J66" s="248" t="s">
        <v>215</v>
      </c>
      <c r="K66" s="248"/>
      <c r="L66" s="265">
        <f>L53</f>
        <v>0</v>
      </c>
      <c r="M66" s="248"/>
      <c r="N66" s="248"/>
      <c r="O66" s="248"/>
      <c r="P66" s="254"/>
      <c r="Q66" s="254"/>
      <c r="R66" s="254"/>
      <c r="S66" s="254"/>
      <c r="T66" s="254"/>
      <c r="U66" s="254"/>
      <c r="V66" s="252"/>
    </row>
    <row r="67" spans="6:22" ht="18.75">
      <c r="F67" s="255"/>
      <c r="G67" s="248"/>
      <c r="H67" s="248"/>
      <c r="I67" s="248"/>
      <c r="J67" s="248"/>
      <c r="K67" s="248"/>
      <c r="L67" s="248"/>
      <c r="M67" s="248"/>
      <c r="N67" s="248"/>
      <c r="O67" s="248"/>
      <c r="P67" s="254"/>
      <c r="Q67" s="254"/>
      <c r="R67" s="254"/>
      <c r="S67" s="254"/>
      <c r="T67" s="254"/>
      <c r="U67" s="254"/>
      <c r="V67" s="252"/>
    </row>
    <row r="68" spans="6:22" ht="20.25">
      <c r="F68" s="255"/>
      <c r="G68" s="248"/>
      <c r="H68" s="248"/>
      <c r="I68" s="257">
        <f>J11</f>
        <v>0</v>
      </c>
      <c r="J68" s="248"/>
      <c r="K68" s="248"/>
      <c r="L68" s="248"/>
      <c r="M68" s="248"/>
      <c r="N68" s="248" t="s">
        <v>216</v>
      </c>
      <c r="O68" s="248"/>
      <c r="P68" s="248"/>
      <c r="Q68" s="248"/>
      <c r="R68" s="248"/>
      <c r="S68" s="254"/>
      <c r="T68" s="254"/>
      <c r="U68" s="254"/>
      <c r="V68" s="252"/>
    </row>
    <row r="69" spans="6:22" ht="18.75">
      <c r="F69" s="255"/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54"/>
      <c r="T69" s="254"/>
      <c r="U69" s="254"/>
      <c r="V69" s="252"/>
    </row>
    <row r="70" spans="6:22" ht="18.75">
      <c r="F70" s="255"/>
      <c r="G70" s="248"/>
      <c r="H70" s="248"/>
      <c r="I70" s="248"/>
      <c r="J70" s="248" t="s">
        <v>216</v>
      </c>
      <c r="K70" s="248"/>
      <c r="L70" s="248"/>
      <c r="M70" s="248"/>
      <c r="N70" s="248" t="s">
        <v>226</v>
      </c>
      <c r="O70" s="248"/>
      <c r="P70" s="248"/>
      <c r="Q70" s="248"/>
      <c r="R70" s="248"/>
      <c r="S70" s="254"/>
      <c r="T70" s="254"/>
      <c r="U70" s="254"/>
      <c r="V70" s="252"/>
    </row>
    <row r="71" spans="6:22" ht="18.75">
      <c r="F71" s="255"/>
      <c r="G71" s="248"/>
      <c r="H71" s="248"/>
      <c r="I71" s="248"/>
      <c r="J71" s="248"/>
      <c r="K71" s="248"/>
      <c r="L71" s="248"/>
      <c r="M71" s="248"/>
      <c r="N71" s="248"/>
      <c r="O71" s="248"/>
      <c r="P71" s="254"/>
      <c r="Q71" s="254"/>
      <c r="R71" s="254"/>
      <c r="S71" s="254"/>
      <c r="T71" s="254"/>
      <c r="U71" s="254"/>
      <c r="V71" s="252"/>
    </row>
    <row r="72" spans="6:22" ht="18.75">
      <c r="F72" s="255"/>
      <c r="G72" s="248"/>
      <c r="H72" s="248"/>
      <c r="I72" s="248"/>
      <c r="J72" s="248" t="s">
        <v>220</v>
      </c>
      <c r="K72" s="248"/>
      <c r="L72" s="248"/>
      <c r="M72" s="248"/>
      <c r="N72" s="248"/>
      <c r="O72" s="248"/>
      <c r="P72" s="254"/>
      <c r="Q72" s="254"/>
      <c r="R72" s="254"/>
      <c r="S72" s="254"/>
      <c r="T72" s="254"/>
      <c r="U72" s="254"/>
      <c r="V72" s="252"/>
    </row>
    <row r="73" spans="6:22" ht="18.75">
      <c r="F73" s="255"/>
      <c r="G73" s="248"/>
      <c r="H73" s="248"/>
      <c r="I73" s="248"/>
      <c r="J73" s="248"/>
      <c r="K73" s="248"/>
      <c r="L73" s="248"/>
      <c r="M73" s="248"/>
      <c r="N73" s="248"/>
      <c r="O73" s="248"/>
      <c r="P73" s="254"/>
      <c r="Q73" s="254"/>
      <c r="R73" s="254"/>
      <c r="S73" s="254"/>
      <c r="T73" s="254"/>
      <c r="U73" s="254"/>
      <c r="V73" s="252"/>
    </row>
    <row r="74" spans="6:22" ht="18.75">
      <c r="F74" s="255"/>
      <c r="G74" s="248" t="s">
        <v>221</v>
      </c>
      <c r="H74" s="248"/>
      <c r="I74" s="248"/>
      <c r="J74" s="248"/>
      <c r="K74" s="248"/>
      <c r="L74" s="248"/>
      <c r="M74" s="248"/>
      <c r="N74" s="248"/>
      <c r="O74" s="248"/>
      <c r="P74" s="254"/>
      <c r="Q74" s="254"/>
      <c r="R74" s="254"/>
      <c r="S74" s="254"/>
      <c r="T74" s="254"/>
      <c r="U74" s="254"/>
      <c r="V74" s="252"/>
    </row>
    <row r="75" spans="6:22">
      <c r="F75" s="258"/>
      <c r="G75" s="258"/>
      <c r="H75" s="258"/>
      <c r="I75" s="258"/>
      <c r="J75" s="258"/>
      <c r="K75" s="258"/>
      <c r="L75" s="258"/>
      <c r="M75" s="258"/>
      <c r="N75" s="258"/>
      <c r="O75" s="258"/>
      <c r="P75" s="258"/>
      <c r="Q75" s="258"/>
      <c r="R75" s="258"/>
      <c r="S75" s="258"/>
      <c r="T75" s="258"/>
      <c r="U75" s="258"/>
      <c r="V75" s="258"/>
    </row>
    <row r="76" spans="6:22" ht="18.75">
      <c r="F76" s="248" t="s">
        <v>213</v>
      </c>
      <c r="G76" s="249"/>
      <c r="H76" s="250"/>
      <c r="I76" s="250"/>
      <c r="J76" s="250"/>
      <c r="K76" s="250"/>
      <c r="L76" s="250"/>
      <c r="M76" s="250"/>
      <c r="N76" s="250"/>
      <c r="O76" s="250"/>
      <c r="P76" s="251"/>
      <c r="Q76" s="251"/>
      <c r="R76" s="251"/>
      <c r="S76" s="251"/>
      <c r="T76" s="251"/>
      <c r="U76" s="251"/>
      <c r="V76" s="258"/>
    </row>
  </sheetData>
  <mergeCells count="31">
    <mergeCell ref="G32:L32"/>
    <mergeCell ref="G33:L33"/>
    <mergeCell ref="AG9:AG11"/>
    <mergeCell ref="AH9:AH11"/>
    <mergeCell ref="AJ9:AJ11"/>
    <mergeCell ref="AI9:AI11"/>
    <mergeCell ref="T8:T11"/>
    <mergeCell ref="S8:S10"/>
    <mergeCell ref="D14:D26"/>
    <mergeCell ref="E14:E23"/>
    <mergeCell ref="O8:O11"/>
    <mergeCell ref="M8:M11"/>
    <mergeCell ref="N8:N11"/>
    <mergeCell ref="K8:K11"/>
    <mergeCell ref="L8:L11"/>
    <mergeCell ref="P37:T37"/>
    <mergeCell ref="P51:T51"/>
    <mergeCell ref="P64:T64"/>
    <mergeCell ref="W14:W26"/>
    <mergeCell ref="C6:D13"/>
    <mergeCell ref="F6:T6"/>
    <mergeCell ref="F8:F11"/>
    <mergeCell ref="G8:G11"/>
    <mergeCell ref="H8:H11"/>
    <mergeCell ref="I8:I11"/>
    <mergeCell ref="J8:J11"/>
    <mergeCell ref="P8:P11"/>
    <mergeCell ref="R8:R11"/>
    <mergeCell ref="Q8:Q11"/>
    <mergeCell ref="S32:T32"/>
    <mergeCell ref="C15:C26"/>
  </mergeCells>
  <pageMargins left="0.70866141732283472" right="0.70866141732283472" top="0.74803149606299213" bottom="0.74803149606299213" header="0.31496062992125984" footer="0.31496062992125984"/>
  <pageSetup paperSize="9" scale="3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N44"/>
  <sheetViews>
    <sheetView zoomScale="40" zoomScaleNormal="40" workbookViewId="0">
      <selection activeCell="AN1" sqref="AN1:BO1048576"/>
    </sheetView>
  </sheetViews>
  <sheetFormatPr defaultRowHeight="15"/>
  <cols>
    <col min="2" max="2" width="3.42578125" customWidth="1"/>
    <col min="4" max="4" width="38.7109375" customWidth="1"/>
    <col min="5" max="7" width="9.140625" hidden="1" customWidth="1"/>
    <col min="8" max="8" width="27.5703125" customWidth="1"/>
    <col min="9" max="9" width="27" customWidth="1"/>
    <col min="10" max="10" width="0" hidden="1" customWidth="1"/>
    <col min="11" max="11" width="0.140625" customWidth="1"/>
    <col min="12" max="12" width="16.28515625" customWidth="1"/>
    <col min="13" max="13" width="22.28515625" customWidth="1"/>
    <col min="14" max="14" width="8.5703125" customWidth="1"/>
    <col min="15" max="15" width="17.140625" customWidth="1"/>
    <col min="17" max="17" width="0" hidden="1" customWidth="1"/>
    <col min="18" max="18" width="15.7109375" customWidth="1"/>
    <col min="20" max="20" width="14.7109375" customWidth="1"/>
    <col min="22" max="22" width="9.140625" hidden="1" customWidth="1"/>
    <col min="23" max="23" width="19.85546875" customWidth="1"/>
    <col min="24" max="24" width="11.28515625" hidden="1" customWidth="1"/>
    <col min="26" max="26" width="14.7109375" customWidth="1"/>
    <col min="28" max="28" width="11.7109375" customWidth="1"/>
    <col min="30" max="30" width="17.28515625" customWidth="1"/>
    <col min="31" max="31" width="18.28515625" customWidth="1"/>
    <col min="39" max="39" width="10.85546875" customWidth="1"/>
    <col min="40" max="67" width="0" hidden="1" customWidth="1"/>
  </cols>
  <sheetData>
    <row r="1" spans="1:66">
      <c r="B1" t="s">
        <v>49</v>
      </c>
    </row>
    <row r="2" spans="1:66" ht="46.5">
      <c r="B2" s="34"/>
      <c r="C2" s="114"/>
      <c r="D2" s="115"/>
      <c r="E2" s="115"/>
      <c r="F2" s="115"/>
      <c r="G2" s="115"/>
      <c r="H2" s="116"/>
      <c r="N2" s="20"/>
      <c r="W2" s="212"/>
      <c r="X2" s="116"/>
      <c r="Y2" s="116"/>
      <c r="Z2" s="116"/>
    </row>
    <row r="3" spans="1:66" ht="46.5">
      <c r="C3" s="215" t="s">
        <v>198</v>
      </c>
      <c r="D3" s="117"/>
      <c r="E3" s="117"/>
      <c r="F3" s="117"/>
      <c r="G3" s="117"/>
      <c r="H3" s="116"/>
      <c r="M3" s="212">
        <f>'Исходные данные'!H13</f>
        <v>2222</v>
      </c>
      <c r="AN3" s="223"/>
      <c r="AO3" s="223"/>
      <c r="AP3" s="223"/>
      <c r="AQ3" s="223"/>
      <c r="AR3" s="223"/>
      <c r="AS3" s="223"/>
      <c r="AT3" s="223"/>
      <c r="AU3" s="223"/>
      <c r="AV3" s="223"/>
      <c r="AW3" s="223"/>
      <c r="AX3" s="223"/>
      <c r="AY3" s="223"/>
      <c r="AZ3" s="223"/>
      <c r="BA3" s="223"/>
      <c r="BB3" s="223"/>
      <c r="BC3" s="223"/>
      <c r="BD3" s="223"/>
      <c r="BE3" s="223"/>
      <c r="BF3" s="223"/>
      <c r="BG3" s="223"/>
      <c r="BH3" s="223"/>
      <c r="BI3" s="223"/>
      <c r="BJ3" s="223"/>
      <c r="BK3" s="223"/>
      <c r="BL3" s="223"/>
      <c r="BM3" s="223"/>
      <c r="BN3" s="223"/>
    </row>
    <row r="4" spans="1:66" ht="27.75" customHeight="1" thickBot="1">
      <c r="B4" s="214"/>
      <c r="C4" s="214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</row>
    <row r="5" spans="1:66" ht="78" customHeight="1" thickBot="1">
      <c r="A5" s="118"/>
      <c r="B5" s="119" t="s">
        <v>151</v>
      </c>
      <c r="C5" s="120" t="s">
        <v>152</v>
      </c>
      <c r="D5" s="121" t="s">
        <v>153</v>
      </c>
      <c r="E5" s="159" t="s">
        <v>154</v>
      </c>
      <c r="F5" s="198"/>
      <c r="G5" s="198"/>
      <c r="H5" s="161" t="s">
        <v>171</v>
      </c>
      <c r="I5" s="157" t="s">
        <v>172</v>
      </c>
      <c r="J5" s="122"/>
      <c r="K5" s="122" t="s">
        <v>155</v>
      </c>
      <c r="L5" s="480" t="s">
        <v>234</v>
      </c>
      <c r="M5" s="122" t="s">
        <v>156</v>
      </c>
      <c r="N5" s="162" t="s">
        <v>157</v>
      </c>
      <c r="O5" s="166" t="s">
        <v>174</v>
      </c>
      <c r="P5" s="162" t="s">
        <v>195</v>
      </c>
      <c r="Q5" s="169" t="s">
        <v>156</v>
      </c>
      <c r="R5" s="455" t="s">
        <v>262</v>
      </c>
      <c r="S5" s="456"/>
      <c r="T5" s="457" t="s">
        <v>263</v>
      </c>
      <c r="U5" s="457"/>
      <c r="V5" s="207"/>
      <c r="W5" s="455" t="s">
        <v>259</v>
      </c>
      <c r="X5" s="445"/>
      <c r="Y5" s="456"/>
      <c r="Z5" s="445" t="s">
        <v>258</v>
      </c>
      <c r="AA5" s="445"/>
      <c r="AB5" s="432" t="s">
        <v>270</v>
      </c>
      <c r="AC5" s="433"/>
      <c r="AD5" s="448" t="s">
        <v>175</v>
      </c>
      <c r="AE5" s="449"/>
      <c r="AF5" s="450"/>
      <c r="AG5" s="451" t="s">
        <v>25</v>
      </c>
      <c r="AH5" s="452"/>
      <c r="AI5" s="452"/>
      <c r="AJ5" s="452"/>
      <c r="AK5" s="453"/>
      <c r="AM5" s="482">
        <f>'Исходные данные'!H13</f>
        <v>2222</v>
      </c>
      <c r="AN5" s="218"/>
      <c r="AO5" s="218"/>
      <c r="AP5" s="218"/>
      <c r="AQ5" s="219"/>
      <c r="AR5" s="219"/>
      <c r="AS5" s="219"/>
      <c r="AT5" s="218"/>
      <c r="AU5" s="219"/>
      <c r="AV5" s="218"/>
      <c r="AW5" s="219"/>
      <c r="AX5" s="486"/>
      <c r="AY5" s="486"/>
      <c r="AZ5" s="487"/>
      <c r="BA5" s="487"/>
      <c r="BB5" s="486"/>
      <c r="BC5" s="486"/>
      <c r="BD5" s="486"/>
      <c r="BE5" s="486"/>
      <c r="BF5" s="486"/>
      <c r="BG5" s="484"/>
      <c r="BH5" s="484"/>
      <c r="BI5" s="484"/>
      <c r="BJ5" s="485"/>
      <c r="BK5" s="485"/>
      <c r="BL5" s="485"/>
      <c r="BM5" s="485"/>
      <c r="BN5" s="485"/>
    </row>
    <row r="6" spans="1:66" ht="40.5" customHeight="1" thickBot="1">
      <c r="A6" s="118"/>
      <c r="B6" s="123"/>
      <c r="C6" s="124"/>
      <c r="D6" s="125"/>
      <c r="E6" s="160"/>
      <c r="F6" s="199"/>
      <c r="G6" s="199"/>
      <c r="H6" s="163" t="s">
        <v>158</v>
      </c>
      <c r="I6" s="126" t="s">
        <v>159</v>
      </c>
      <c r="J6" s="126"/>
      <c r="K6" s="126"/>
      <c r="L6" s="481"/>
      <c r="M6" s="340"/>
      <c r="N6" s="341" t="s">
        <v>173</v>
      </c>
      <c r="O6" s="342"/>
      <c r="P6" s="341" t="s">
        <v>173</v>
      </c>
      <c r="Q6" s="343"/>
      <c r="R6" s="344" t="s">
        <v>23</v>
      </c>
      <c r="S6" s="344" t="s">
        <v>173</v>
      </c>
      <c r="T6" s="344" t="s">
        <v>23</v>
      </c>
      <c r="U6" s="335" t="s">
        <v>173</v>
      </c>
      <c r="V6" s="335"/>
      <c r="W6" s="344" t="s">
        <v>23</v>
      </c>
      <c r="X6" s="344" t="s">
        <v>178</v>
      </c>
      <c r="Y6" s="344" t="s">
        <v>173</v>
      </c>
      <c r="Z6" s="344" t="s">
        <v>23</v>
      </c>
      <c r="AA6" s="335" t="s">
        <v>173</v>
      </c>
      <c r="AB6" s="335" t="s">
        <v>159</v>
      </c>
      <c r="AC6" s="335" t="s">
        <v>173</v>
      </c>
      <c r="AD6" s="344" t="s">
        <v>176</v>
      </c>
      <c r="AE6" s="344" t="s">
        <v>177</v>
      </c>
      <c r="AF6" s="335" t="s">
        <v>1</v>
      </c>
      <c r="AG6" s="182" t="s">
        <v>179</v>
      </c>
      <c r="AH6" s="158" t="s">
        <v>62</v>
      </c>
      <c r="AI6" s="178" t="s">
        <v>82</v>
      </c>
      <c r="AJ6" s="178" t="str">
        <f>МРП!D16</f>
        <v>Стенка верт</v>
      </c>
      <c r="AK6" s="179" t="str">
        <f>МРП!E16</f>
        <v>Кол-во рубов м.р. верт-ой</v>
      </c>
      <c r="AM6" s="482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20"/>
      <c r="AY6" s="219"/>
      <c r="AZ6" s="220"/>
      <c r="BA6" s="220"/>
      <c r="BB6" s="220"/>
      <c r="BC6" s="220"/>
      <c r="BD6" s="219"/>
      <c r="BE6" s="220"/>
      <c r="BF6" s="219"/>
      <c r="BG6" s="220"/>
      <c r="BH6" s="220"/>
      <c r="BI6" s="219"/>
      <c r="BJ6" s="219"/>
      <c r="BK6" s="221"/>
      <c r="BL6" s="220"/>
      <c r="BM6" s="220"/>
      <c r="BN6" s="220"/>
    </row>
    <row r="7" spans="1:66" ht="40.5" customHeight="1" thickBot="1">
      <c r="B7" s="127">
        <v>1</v>
      </c>
      <c r="C7" s="203">
        <f>'Исходные данные'!B17</f>
        <v>0</v>
      </c>
      <c r="D7" s="308" t="str">
        <f>CONCATENATE('Исходные данные'!C17,'Исходные данные'!D17,'Исходные данные'!E17,'Исходные данные'!F17,"  ",'Исходные данные'!G17,"x",'Исходные данные'!H17,'Исходные данные'!I17,'Исходные данные'!J17,'Исходные данные'!K17, "-",'Исходные данные'!L17,'Исходные данные'!M17,'Исходные данные'!N17,'Исходные данные'!O17,'Исходные данные'!P17,'Исходные данные'!Q17,'Исходные данные'!R17)</f>
        <v xml:space="preserve">  x-</v>
      </c>
      <c r="E7" s="176"/>
      <c r="F7" s="200" t="str">
        <f>IF('Исходные данные'!J17=1,"ВГ 199.01.00.001",IF('Исходные данные'!J17=2,"ВГ 199.01.00.008","---"))</f>
        <v>---</v>
      </c>
      <c r="G7" s="200" t="str">
        <f>IF('Исходные данные'!J17=1,"ВГ 199.01.00.002",IF('Исходные данные'!J17=2,"ВГ 199.01.00.007","---"))</f>
        <v>---</v>
      </c>
      <c r="H7" s="175" t="str">
        <f>CONCATENATE(F7,"----",'Исходные данные'!G17)</f>
        <v>-------</v>
      </c>
      <c r="I7" s="131" t="str">
        <f>CONCATENATE(G7,"----",'Исходные данные'!H17)</f>
        <v>-------</v>
      </c>
      <c r="J7" s="131"/>
      <c r="K7" s="336"/>
      <c r="L7" s="337">
        <f>'Исходные данные'!S17</f>
        <v>0</v>
      </c>
      <c r="M7" s="338" t="str">
        <f>IF(H7&gt;0,"ОЦ","---")</f>
        <v>ОЦ</v>
      </c>
      <c r="N7" s="338">
        <f>'Исходные данные'!S17</f>
        <v>0</v>
      </c>
      <c r="O7" s="338" t="str">
        <f>CONCATENATE('Исходные данные'!G17,"x",'Исходные данные'!H17)</f>
        <v>x</v>
      </c>
      <c r="P7" s="338">
        <f>N7</f>
        <v>0</v>
      </c>
      <c r="Q7" s="338" t="str">
        <f>M7</f>
        <v>ОЦ</v>
      </c>
      <c r="R7" s="338" t="str">
        <f>IF('Исходные данные'!G17&gt;0,'Исходные данные'!G17-3,"---")</f>
        <v>---</v>
      </c>
      <c r="S7" s="338">
        <f>P7</f>
        <v>0</v>
      </c>
      <c r="T7" s="338" t="str">
        <f>IF('Исходные данные'!G17&gt;0,'Исходные данные'!G17-3,"---")</f>
        <v>---</v>
      </c>
      <c r="U7" s="338">
        <f>S7</f>
        <v>0</v>
      </c>
      <c r="V7" s="338">
        <f>IF('Исходные данные'!H17&lt;399,30,IF('Исходные данные'!H17&lt;401,95,IF('Исходные данные'!H17&gt;=450,135,0)))</f>
        <v>30</v>
      </c>
      <c r="W7" s="338">
        <f>IF('Исходные данные'!H17=0,0,'Исходные данные'!H17-'Комплектовочный лист'!V7-58.5)</f>
        <v>0</v>
      </c>
      <c r="X7" s="338">
        <f>IF('Комплектовочный лист'!E17&lt;400,30,IF('Комплектовочный лист'!E17&lt;450,95,IF('Комплектовочный лист'!E17&lt;=1200,135,0)))</f>
        <v>30</v>
      </c>
      <c r="Y7" s="338">
        <f>U7*2</f>
        <v>0</v>
      </c>
      <c r="Z7" s="339">
        <f>IF(V7=135,102,IF(V7=95,62,IF(V7=30,0,0)))</f>
        <v>0</v>
      </c>
      <c r="AA7" s="339">
        <f>Y7</f>
        <v>0</v>
      </c>
      <c r="AB7" s="339">
        <f>'Задание на гибку'!AI7</f>
        <v>0</v>
      </c>
      <c r="AC7" s="339">
        <f>'Задание на гибку'!AJ7</f>
        <v>0</v>
      </c>
      <c r="AD7" s="339" t="str">
        <f>Сетка!B17</f>
        <v>---</v>
      </c>
      <c r="AE7" s="339" t="str">
        <f>IF(AD7="решетка жалюзийная",O7,IF(AD7="сетка",O7,"0х0"))</f>
        <v>0х0</v>
      </c>
      <c r="AF7" s="339">
        <f>N7</f>
        <v>0</v>
      </c>
      <c r="AG7" s="339">
        <f>МРП!F17</f>
        <v>0</v>
      </c>
      <c r="AH7" s="339">
        <f>МРП!B17</f>
        <v>0</v>
      </c>
      <c r="AI7" s="339">
        <f>МРП!C17*2</f>
        <v>0</v>
      </c>
      <c r="AJ7" s="339">
        <f>МРП!D17</f>
        <v>0</v>
      </c>
      <c r="AK7" s="309">
        <f>МРП!E17*2</f>
        <v>0</v>
      </c>
      <c r="AM7" s="482"/>
      <c r="AN7" s="222"/>
      <c r="AO7" s="222"/>
      <c r="AP7" s="222"/>
      <c r="AQ7" s="222"/>
      <c r="AR7" s="222"/>
      <c r="AS7" s="222"/>
      <c r="AT7" s="222"/>
      <c r="AU7" s="222"/>
      <c r="AV7" s="222"/>
      <c r="AW7" s="222"/>
      <c r="AX7" s="222"/>
      <c r="AY7" s="222"/>
      <c r="AZ7" s="222"/>
      <c r="BA7" s="222"/>
      <c r="BB7" s="222"/>
      <c r="BC7" s="222"/>
      <c r="BD7" s="222"/>
      <c r="BE7" s="222"/>
      <c r="BF7" s="222"/>
      <c r="BG7" s="222"/>
      <c r="BH7" s="222"/>
      <c r="BI7" s="222"/>
      <c r="BJ7" s="222"/>
      <c r="BK7" s="222"/>
      <c r="BL7" s="222"/>
      <c r="BM7" s="222"/>
      <c r="BN7" s="222"/>
    </row>
    <row r="8" spans="1:66" ht="45" customHeight="1" thickBot="1">
      <c r="B8" s="127">
        <f>B7+1</f>
        <v>2</v>
      </c>
      <c r="C8" s="347">
        <f>'Исходные данные'!B18</f>
        <v>0</v>
      </c>
      <c r="D8" s="308" t="str">
        <f>CONCATENATE('Исходные данные'!C18,'Исходные данные'!D18,'Исходные данные'!E18,'Исходные данные'!F18,"  ",'Исходные данные'!G18,"x",'Исходные данные'!H18,'Исходные данные'!I18,'Исходные данные'!J18,'Исходные данные'!K18, "-",'Исходные данные'!L18,'Исходные данные'!M18,'Исходные данные'!N18,'Исходные данные'!O18,'Исходные данные'!P18,'Исходные данные'!Q18,'Исходные данные'!R18)</f>
        <v xml:space="preserve">  x-</v>
      </c>
      <c r="E8" s="176"/>
      <c r="F8" s="200" t="str">
        <f>IF('Исходные данные'!J18=1,"ВГ 199.01.00.001",IF('Исходные данные'!J18=2,"ВГ 199.01.00.008","---"))</f>
        <v>---</v>
      </c>
      <c r="G8" s="200" t="str">
        <f>IF('Исходные данные'!J18=1,"ВГ 199.01.00.002",IF('Исходные данные'!J18=2,"ВГ 199.01.00.007","---"))</f>
        <v>---</v>
      </c>
      <c r="H8" s="175" t="str">
        <f>CONCATENATE(F8,"----",'Исходные данные'!G18)</f>
        <v>-------</v>
      </c>
      <c r="I8" s="131" t="str">
        <f>CONCATENATE(G8,"----",'Исходные данные'!H18)</f>
        <v>-------</v>
      </c>
      <c r="J8" s="131"/>
      <c r="K8" s="336"/>
      <c r="L8" s="337">
        <f>'Исходные данные'!S18</f>
        <v>0</v>
      </c>
      <c r="M8" s="338" t="str">
        <f t="shared" ref="M8:M21" si="0">IF(H8&gt;0,"ОЦ","---")</f>
        <v>ОЦ</v>
      </c>
      <c r="N8" s="338">
        <f>'Исходные данные'!S18</f>
        <v>0</v>
      </c>
      <c r="O8" s="338" t="str">
        <f>CONCATENATE('Исходные данные'!G18,"x",'Исходные данные'!H18)</f>
        <v>x</v>
      </c>
      <c r="P8" s="338">
        <f t="shared" ref="P8:P21" si="1">N8</f>
        <v>0</v>
      </c>
      <c r="Q8" s="338" t="str">
        <f t="shared" ref="Q8:Q21" si="2">M8</f>
        <v>ОЦ</v>
      </c>
      <c r="R8" s="338" t="str">
        <f>IF('Исходные данные'!G18&gt;0,'Исходные данные'!G18-3,"---")</f>
        <v>---</v>
      </c>
      <c r="S8" s="338">
        <f t="shared" ref="S8:S21" si="3">P8</f>
        <v>0</v>
      </c>
      <c r="T8" s="338" t="str">
        <f>IF('Исходные данные'!G18&gt;0,'Исходные данные'!G18-3,"---")</f>
        <v>---</v>
      </c>
      <c r="U8" s="338">
        <f t="shared" ref="U8:U21" si="4">S8</f>
        <v>0</v>
      </c>
      <c r="V8" s="338">
        <f>IF('Исходные данные'!H18&lt;399,30,IF('Исходные данные'!H18&lt;401,95,IF('Исходные данные'!H18&gt;=450,135,0)))</f>
        <v>30</v>
      </c>
      <c r="W8" s="338">
        <f>IF('Исходные данные'!H18=0,0,'Исходные данные'!H18-'Комплектовочный лист'!V8-58.5)</f>
        <v>0</v>
      </c>
      <c r="X8" s="338">
        <f>IF('Комплектовочный лист'!E18&lt;400,30,IF('Комплектовочный лист'!E18&lt;450,95,IF('Комплектовочный лист'!E18&lt;=1200,135,0)))</f>
        <v>30</v>
      </c>
      <c r="Y8" s="338">
        <f t="shared" ref="Y8:Y21" si="5">U8*2</f>
        <v>0</v>
      </c>
      <c r="Z8" s="339">
        <f t="shared" ref="Z8:Z21" si="6">IF(V8=135,102,IF(V8=95,62,IF(V8=30,0,0)))</f>
        <v>0</v>
      </c>
      <c r="AA8" s="339">
        <f t="shared" ref="AA8:AA21" si="7">Y8</f>
        <v>0</v>
      </c>
      <c r="AB8" s="339">
        <f>'Задание на гибку'!AI8</f>
        <v>0</v>
      </c>
      <c r="AC8" s="339">
        <f>'Задание на гибку'!AJ8</f>
        <v>0</v>
      </c>
      <c r="AD8" s="339" t="str">
        <f>Сетка!B18</f>
        <v>---</v>
      </c>
      <c r="AE8" s="339" t="str">
        <f t="shared" ref="AE8:AE21" si="8">IF(AD8="решетка жалюзийная",O8,IF(AD8="сетка",O8,"0х0"))</f>
        <v>0х0</v>
      </c>
      <c r="AF8" s="339">
        <f t="shared" ref="AF8:AF21" si="9">N8</f>
        <v>0</v>
      </c>
      <c r="AG8" s="339">
        <f>МРП!F18</f>
        <v>0</v>
      </c>
      <c r="AH8" s="339">
        <f>МРП!B18</f>
        <v>0</v>
      </c>
      <c r="AI8" s="339">
        <f>МРП!C18*2</f>
        <v>0</v>
      </c>
      <c r="AJ8" s="339">
        <f>МРП!D18</f>
        <v>0</v>
      </c>
      <c r="AK8" s="309">
        <f>МРП!E18*2</f>
        <v>0</v>
      </c>
      <c r="AM8" s="482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4"/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4"/>
      <c r="BN8" s="224"/>
    </row>
    <row r="9" spans="1:66" ht="33" customHeight="1" thickBot="1">
      <c r="B9" s="127">
        <f t="shared" ref="B9:B24" si="10">B8+1</f>
        <v>3</v>
      </c>
      <c r="C9" s="347">
        <f>'Исходные данные'!B19</f>
        <v>0</v>
      </c>
      <c r="D9" s="308" t="str">
        <f>CONCATENATE('Исходные данные'!C19,'Исходные данные'!D19,'Исходные данные'!E19,'Исходные данные'!F19,"  ",'Исходные данные'!G19,"x",'Исходные данные'!H19,'Исходные данные'!I19,'Исходные данные'!J19,'Исходные данные'!K19, "-",'Исходные данные'!L19,'Исходные данные'!M19,'Исходные данные'!N19,'Исходные данные'!O19,'Исходные данные'!P19,'Исходные данные'!Q19,'Исходные данные'!R19)</f>
        <v xml:space="preserve">  x-</v>
      </c>
      <c r="E9" s="176"/>
      <c r="F9" s="200" t="str">
        <f>IF('Исходные данные'!J19=1,"ВГ 199.01.00.001",IF('Исходные данные'!J19=2,"ВГ 199.01.00.008","---"))</f>
        <v>---</v>
      </c>
      <c r="G9" s="200" t="str">
        <f>IF('Исходные данные'!J19=1,"ВГ 199.01.00.002",IF('Исходные данные'!J19=2,"ВГ 199.01.00.007","---"))</f>
        <v>---</v>
      </c>
      <c r="H9" s="175" t="str">
        <f>CONCATENATE(F9,"----",'Исходные данные'!G19)</f>
        <v>-------</v>
      </c>
      <c r="I9" s="131" t="str">
        <f>CONCATENATE(G9,"----",'Исходные данные'!H19)</f>
        <v>-------</v>
      </c>
      <c r="J9" s="131"/>
      <c r="K9" s="336"/>
      <c r="L9" s="337">
        <f>'Исходные данные'!S19</f>
        <v>0</v>
      </c>
      <c r="M9" s="338" t="str">
        <f t="shared" si="0"/>
        <v>ОЦ</v>
      </c>
      <c r="N9" s="338">
        <f>'Исходные данные'!S19</f>
        <v>0</v>
      </c>
      <c r="O9" s="338" t="str">
        <f>CONCATENATE('Исходные данные'!G19,"x",'Исходные данные'!H19)</f>
        <v>x</v>
      </c>
      <c r="P9" s="338">
        <f t="shared" si="1"/>
        <v>0</v>
      </c>
      <c r="Q9" s="338" t="str">
        <f t="shared" si="2"/>
        <v>ОЦ</v>
      </c>
      <c r="R9" s="338" t="str">
        <f>IF('Исходные данные'!G19&gt;0,'Исходные данные'!G19-3,"---")</f>
        <v>---</v>
      </c>
      <c r="S9" s="338">
        <f t="shared" si="3"/>
        <v>0</v>
      </c>
      <c r="T9" s="338" t="str">
        <f>IF('Исходные данные'!G19&gt;0,'Исходные данные'!G19-3,"---")</f>
        <v>---</v>
      </c>
      <c r="U9" s="338">
        <f t="shared" si="4"/>
        <v>0</v>
      </c>
      <c r="V9" s="338">
        <f>IF('Исходные данные'!H19&lt;399,30,IF('Исходные данные'!H19&lt;401,95,IF('Исходные данные'!H19&gt;=450,135,0)))</f>
        <v>30</v>
      </c>
      <c r="W9" s="338">
        <f>IF('Исходные данные'!H19=0,0,'Исходные данные'!H19-'Комплектовочный лист'!V9-58.5)</f>
        <v>0</v>
      </c>
      <c r="X9" s="338">
        <f>IF('Комплектовочный лист'!E19&lt;400,30,IF('Комплектовочный лист'!E19&lt;450,95,IF('Комплектовочный лист'!E19&lt;=1200,135,0)))</f>
        <v>30</v>
      </c>
      <c r="Y9" s="338">
        <f t="shared" si="5"/>
        <v>0</v>
      </c>
      <c r="Z9" s="339">
        <f t="shared" si="6"/>
        <v>0</v>
      </c>
      <c r="AA9" s="339">
        <f t="shared" si="7"/>
        <v>0</v>
      </c>
      <c r="AB9" s="339">
        <f>'Задание на гибку'!AI9</f>
        <v>0</v>
      </c>
      <c r="AC9" s="339">
        <f>'Задание на гибку'!AJ9</f>
        <v>0</v>
      </c>
      <c r="AD9" s="339" t="str">
        <f>Сетка!B19</f>
        <v>---</v>
      </c>
      <c r="AE9" s="339" t="str">
        <f t="shared" si="8"/>
        <v>0х0</v>
      </c>
      <c r="AF9" s="339">
        <f t="shared" si="9"/>
        <v>0</v>
      </c>
      <c r="AG9" s="339">
        <f>МРП!F19</f>
        <v>0</v>
      </c>
      <c r="AH9" s="339">
        <f>МРП!B19</f>
        <v>0</v>
      </c>
      <c r="AI9" s="339">
        <f>МРП!C19*2</f>
        <v>0</v>
      </c>
      <c r="AJ9" s="339">
        <f>МРП!D19</f>
        <v>0</v>
      </c>
      <c r="AK9" s="309">
        <f>МРП!E19*2</f>
        <v>0</v>
      </c>
      <c r="AM9" s="483" t="s">
        <v>198</v>
      </c>
    </row>
    <row r="10" spans="1:66" ht="42" customHeight="1" thickBot="1">
      <c r="B10" s="127">
        <f t="shared" si="10"/>
        <v>4</v>
      </c>
      <c r="C10" s="347">
        <f>'Исходные данные'!B20</f>
        <v>0</v>
      </c>
      <c r="D10" s="308" t="str">
        <f>CONCATENATE('Исходные данные'!C20,'Исходные данные'!D20,'Исходные данные'!E20,'Исходные данные'!F20,"  ",'Исходные данные'!G20,"x",'Исходные данные'!H20,'Исходные данные'!I20,'Исходные данные'!J20,'Исходные данные'!K20, "-",'Исходные данные'!L20,'Исходные данные'!M20,'Исходные данные'!N20,'Исходные данные'!O20,'Исходные данные'!P20,'Исходные данные'!Q20,'Исходные данные'!R20)</f>
        <v xml:space="preserve">  x-</v>
      </c>
      <c r="E10" s="176"/>
      <c r="F10" s="200" t="str">
        <f>IF('Исходные данные'!J20=1,"ВГ 199.01.00.001",IF('Исходные данные'!J20=2,"ВГ 199.01.00.008","---"))</f>
        <v>---</v>
      </c>
      <c r="G10" s="200" t="str">
        <f>IF('Исходные данные'!J20=1,"ВГ 199.01.00.002",IF('Исходные данные'!J20=2,"ВГ 199.01.00.007","---"))</f>
        <v>---</v>
      </c>
      <c r="H10" s="175" t="str">
        <f>CONCATENATE(F10,"----",'Исходные данные'!G20)</f>
        <v>-------</v>
      </c>
      <c r="I10" s="131" t="str">
        <f>CONCATENATE(G10,"----",'Исходные данные'!H20)</f>
        <v>-------</v>
      </c>
      <c r="J10" s="131"/>
      <c r="K10" s="336"/>
      <c r="L10" s="337">
        <f>'Исходные данные'!S20</f>
        <v>0</v>
      </c>
      <c r="M10" s="338" t="str">
        <f t="shared" si="0"/>
        <v>ОЦ</v>
      </c>
      <c r="N10" s="338">
        <f>'Исходные данные'!S20</f>
        <v>0</v>
      </c>
      <c r="O10" s="338" t="str">
        <f>CONCATENATE('Исходные данные'!G20,"x",'Исходные данные'!H20)</f>
        <v>x</v>
      </c>
      <c r="P10" s="338">
        <f t="shared" si="1"/>
        <v>0</v>
      </c>
      <c r="Q10" s="338" t="str">
        <f t="shared" si="2"/>
        <v>ОЦ</v>
      </c>
      <c r="R10" s="338" t="str">
        <f>IF('Исходные данные'!G20&gt;0,'Исходные данные'!G20-3,"---")</f>
        <v>---</v>
      </c>
      <c r="S10" s="338">
        <f t="shared" si="3"/>
        <v>0</v>
      </c>
      <c r="T10" s="338" t="str">
        <f>IF('Исходные данные'!G20&gt;0,'Исходные данные'!G20-3,"---")</f>
        <v>---</v>
      </c>
      <c r="U10" s="338">
        <f t="shared" si="4"/>
        <v>0</v>
      </c>
      <c r="V10" s="338">
        <f>IF('Исходные данные'!H20&lt;399,30,IF('Исходные данные'!H20&lt;401,95,IF('Исходные данные'!H20&gt;=450,135,0)))</f>
        <v>30</v>
      </c>
      <c r="W10" s="338">
        <f>IF('Исходные данные'!H20=0,0,'Исходные данные'!H20-'Комплектовочный лист'!V10-58.5)</f>
        <v>0</v>
      </c>
      <c r="X10" s="338">
        <f>IF('Комплектовочный лист'!E20&lt;400,30,IF('Комплектовочный лист'!E20&lt;450,95,IF('Комплектовочный лист'!E20&lt;=1200,135,0)))</f>
        <v>30</v>
      </c>
      <c r="Y10" s="338">
        <f t="shared" si="5"/>
        <v>0</v>
      </c>
      <c r="Z10" s="339">
        <f t="shared" si="6"/>
        <v>0</v>
      </c>
      <c r="AA10" s="339">
        <f t="shared" si="7"/>
        <v>0</v>
      </c>
      <c r="AB10" s="339">
        <f>'Задание на гибку'!AI10</f>
        <v>0</v>
      </c>
      <c r="AC10" s="339">
        <f>'Задание на гибку'!AJ10</f>
        <v>0</v>
      </c>
      <c r="AD10" s="339" t="str">
        <f>Сетка!B20</f>
        <v>---</v>
      </c>
      <c r="AE10" s="339" t="str">
        <f t="shared" si="8"/>
        <v>0х0</v>
      </c>
      <c r="AF10" s="339">
        <f t="shared" si="9"/>
        <v>0</v>
      </c>
      <c r="AG10" s="339">
        <f>МРП!F20</f>
        <v>0</v>
      </c>
      <c r="AH10" s="339">
        <f>МРП!B20</f>
        <v>0</v>
      </c>
      <c r="AI10" s="339">
        <f>МРП!C20*2</f>
        <v>0</v>
      </c>
      <c r="AJ10" s="339">
        <f>МРП!D20</f>
        <v>0</v>
      </c>
      <c r="AK10" s="309">
        <f>МРП!E20*2</f>
        <v>0</v>
      </c>
      <c r="AM10" s="483"/>
      <c r="AY10" s="245"/>
    </row>
    <row r="11" spans="1:66" ht="33" customHeight="1" thickBot="1">
      <c r="B11" s="127">
        <f t="shared" si="10"/>
        <v>5</v>
      </c>
      <c r="C11" s="347">
        <f>'Исходные данные'!B21</f>
        <v>0</v>
      </c>
      <c r="D11" s="308" t="str">
        <f>CONCATENATE('Исходные данные'!C21,'Исходные данные'!D21,'Исходные данные'!E21,'Исходные данные'!F21,"  ",'Исходные данные'!G21,"x",'Исходные данные'!H21,'Исходные данные'!I21,'Исходные данные'!J21,'Исходные данные'!K21, "-",'Исходные данные'!L21,'Исходные данные'!M21,'Исходные данные'!N21,'Исходные данные'!O21,'Исходные данные'!P21,'Исходные данные'!Q21,'Исходные данные'!R21)</f>
        <v xml:space="preserve">  x-</v>
      </c>
      <c r="E11" s="176"/>
      <c r="F11" s="200" t="str">
        <f>IF('Исходные данные'!J21=1,"ВГ 199.01.00.001",IF('Исходные данные'!J21=2,"ВГ 199.01.00.008","---"))</f>
        <v>---</v>
      </c>
      <c r="G11" s="200" t="str">
        <f>IF('Исходные данные'!J21=1,"ВГ 199.01.00.002",IF('Исходные данные'!J21=2,"ВГ 199.01.00.007","---"))</f>
        <v>---</v>
      </c>
      <c r="H11" s="175" t="str">
        <f>CONCATENATE(F11,"----",'Исходные данные'!G21)</f>
        <v>-------</v>
      </c>
      <c r="I11" s="131" t="str">
        <f>CONCATENATE(G11,"----",'Исходные данные'!H21)</f>
        <v>-------</v>
      </c>
      <c r="J11" s="131"/>
      <c r="K11" s="336"/>
      <c r="L11" s="337">
        <f>'Исходные данные'!S21</f>
        <v>0</v>
      </c>
      <c r="M11" s="338" t="str">
        <f t="shared" si="0"/>
        <v>ОЦ</v>
      </c>
      <c r="N11" s="338">
        <f>'Исходные данные'!S21</f>
        <v>0</v>
      </c>
      <c r="O11" s="338" t="str">
        <f>CONCATENATE('Исходные данные'!G21,"x",'Исходные данные'!H21)</f>
        <v>x</v>
      </c>
      <c r="P11" s="338">
        <f t="shared" si="1"/>
        <v>0</v>
      </c>
      <c r="Q11" s="338" t="str">
        <f t="shared" si="2"/>
        <v>ОЦ</v>
      </c>
      <c r="R11" s="338" t="str">
        <f>IF('Исходные данные'!G21&gt;0,'Исходные данные'!G21-3,"---")</f>
        <v>---</v>
      </c>
      <c r="S11" s="338">
        <f t="shared" si="3"/>
        <v>0</v>
      </c>
      <c r="T11" s="338" t="str">
        <f>IF('Исходные данные'!G21&gt;0,'Исходные данные'!G21-3,"---")</f>
        <v>---</v>
      </c>
      <c r="U11" s="338">
        <f t="shared" si="4"/>
        <v>0</v>
      </c>
      <c r="V11" s="338">
        <f>IF('Исходные данные'!H21&lt;399,30,IF('Исходные данные'!H21&lt;401,95,IF('Исходные данные'!H21&gt;=450,135,0)))</f>
        <v>30</v>
      </c>
      <c r="W11" s="338">
        <f>IF('Исходные данные'!H21=0,0,'Исходные данные'!H21-'Комплектовочный лист'!V11-58.5)</f>
        <v>0</v>
      </c>
      <c r="X11" s="338">
        <f>IF('Комплектовочный лист'!E21&lt;400,30,IF('Комплектовочный лист'!E21&lt;450,95,IF('Комплектовочный лист'!E21&lt;=1200,135,0)))</f>
        <v>30</v>
      </c>
      <c r="Y11" s="338">
        <f t="shared" si="5"/>
        <v>0</v>
      </c>
      <c r="Z11" s="339">
        <f t="shared" si="6"/>
        <v>0</v>
      </c>
      <c r="AA11" s="339">
        <f t="shared" si="7"/>
        <v>0</v>
      </c>
      <c r="AB11" s="339">
        <f>'Задание на гибку'!AI11</f>
        <v>0</v>
      </c>
      <c r="AC11" s="339">
        <f>'Задание на гибку'!AJ11</f>
        <v>0</v>
      </c>
      <c r="AD11" s="339" t="str">
        <f>Сетка!B21</f>
        <v>---</v>
      </c>
      <c r="AE11" s="339" t="str">
        <f t="shared" si="8"/>
        <v>0х0</v>
      </c>
      <c r="AF11" s="339">
        <f t="shared" si="9"/>
        <v>0</v>
      </c>
      <c r="AG11" s="339">
        <f>МРП!F21</f>
        <v>0</v>
      </c>
      <c r="AH11" s="339">
        <f>МРП!B21</f>
        <v>0</v>
      </c>
      <c r="AI11" s="339">
        <f>МРП!C21*2</f>
        <v>0</v>
      </c>
      <c r="AJ11" s="339">
        <f>МРП!D21</f>
        <v>0</v>
      </c>
      <c r="AK11" s="309">
        <f>МРП!E21*2</f>
        <v>0</v>
      </c>
      <c r="AM11" s="483"/>
    </row>
    <row r="12" spans="1:66" ht="33" customHeight="1" thickBot="1">
      <c r="B12" s="127">
        <f t="shared" si="10"/>
        <v>6</v>
      </c>
      <c r="C12" s="347">
        <f>'Исходные данные'!B22</f>
        <v>0</v>
      </c>
      <c r="D12" s="308" t="str">
        <f>CONCATENATE('Исходные данные'!C22,'Исходные данные'!D22,'Исходные данные'!E22,'Исходные данные'!F22,"  ",'Исходные данные'!G22,"x",'Исходные данные'!H22,'Исходные данные'!I22,'Исходные данные'!J22,'Исходные данные'!K22, "-",'Исходные данные'!L22,'Исходные данные'!M22,'Исходные данные'!N22,'Исходные данные'!O22,'Исходные данные'!P22,'Исходные данные'!Q22,'Исходные данные'!R22)</f>
        <v xml:space="preserve">  x-</v>
      </c>
      <c r="E12" s="176"/>
      <c r="F12" s="200" t="str">
        <f>IF('Исходные данные'!J22=1,"ВГ 199.01.00.001",IF('Исходные данные'!J22=2,"ВГ 199.01.00.008","---"))</f>
        <v>---</v>
      </c>
      <c r="G12" s="200" t="str">
        <f>IF('Исходные данные'!J22=1,"ВГ 199.01.00.002",IF('Исходные данные'!J22=2,"ВГ 199.01.00.007","---"))</f>
        <v>---</v>
      </c>
      <c r="H12" s="175" t="str">
        <f>CONCATENATE(F12,"----",'Исходные данные'!G22)</f>
        <v>-------</v>
      </c>
      <c r="I12" s="131" t="str">
        <f>CONCATENATE(G12,"----",'Исходные данные'!H22)</f>
        <v>-------</v>
      </c>
      <c r="J12" s="131"/>
      <c r="K12" s="336"/>
      <c r="L12" s="337">
        <f>'Исходные данные'!S22</f>
        <v>0</v>
      </c>
      <c r="M12" s="338" t="str">
        <f t="shared" si="0"/>
        <v>ОЦ</v>
      </c>
      <c r="N12" s="338">
        <f>'Исходные данные'!S22</f>
        <v>0</v>
      </c>
      <c r="O12" s="338" t="str">
        <f>CONCATENATE('Исходные данные'!G22,"x",'Исходные данные'!H22)</f>
        <v>x</v>
      </c>
      <c r="P12" s="338">
        <f t="shared" si="1"/>
        <v>0</v>
      </c>
      <c r="Q12" s="338" t="str">
        <f t="shared" si="2"/>
        <v>ОЦ</v>
      </c>
      <c r="R12" s="338" t="str">
        <f>IF('Исходные данные'!G22&gt;0,'Исходные данные'!G22-3,"---")</f>
        <v>---</v>
      </c>
      <c r="S12" s="338">
        <f t="shared" si="3"/>
        <v>0</v>
      </c>
      <c r="T12" s="338" t="str">
        <f>IF('Исходные данные'!G22&gt;0,'Исходные данные'!G22-3,"---")</f>
        <v>---</v>
      </c>
      <c r="U12" s="338">
        <f t="shared" si="4"/>
        <v>0</v>
      </c>
      <c r="V12" s="338">
        <f>IF('Исходные данные'!H22&lt;399,30,IF('Исходные данные'!H22&lt;401,95,IF('Исходные данные'!H22&gt;=450,135,0)))</f>
        <v>30</v>
      </c>
      <c r="W12" s="338">
        <f>IF('Исходные данные'!H22=0,0,'Исходные данные'!H22-'Комплектовочный лист'!V12-58.5)</f>
        <v>0</v>
      </c>
      <c r="X12" s="338">
        <f>IF('Комплектовочный лист'!E22&lt;400,30,IF('Комплектовочный лист'!E22&lt;450,95,IF('Комплектовочный лист'!E22&lt;=1200,135,0)))</f>
        <v>30</v>
      </c>
      <c r="Y12" s="338">
        <f t="shared" si="5"/>
        <v>0</v>
      </c>
      <c r="Z12" s="339">
        <f t="shared" si="6"/>
        <v>0</v>
      </c>
      <c r="AA12" s="339">
        <f t="shared" si="7"/>
        <v>0</v>
      </c>
      <c r="AB12" s="339">
        <f>'Задание на гибку'!AI12</f>
        <v>0</v>
      </c>
      <c r="AC12" s="339">
        <f>'Задание на гибку'!AJ12</f>
        <v>0</v>
      </c>
      <c r="AD12" s="339" t="str">
        <f>Сетка!B22</f>
        <v>---</v>
      </c>
      <c r="AE12" s="339" t="str">
        <f t="shared" si="8"/>
        <v>0х0</v>
      </c>
      <c r="AF12" s="339">
        <f t="shared" si="9"/>
        <v>0</v>
      </c>
      <c r="AG12" s="339">
        <f>МРП!F22</f>
        <v>0</v>
      </c>
      <c r="AH12" s="339">
        <f>МРП!B22</f>
        <v>0</v>
      </c>
      <c r="AI12" s="339">
        <f>МРП!C22*2</f>
        <v>0</v>
      </c>
      <c r="AJ12" s="339">
        <f>МРП!D22</f>
        <v>0</v>
      </c>
      <c r="AK12" s="309">
        <f>МРП!E22*2</f>
        <v>0</v>
      </c>
      <c r="AM12" s="483"/>
    </row>
    <row r="13" spans="1:66" ht="33" customHeight="1" thickBot="1">
      <c r="B13" s="127">
        <f t="shared" si="10"/>
        <v>7</v>
      </c>
      <c r="C13" s="347">
        <f>'Исходные данные'!B23</f>
        <v>0</v>
      </c>
      <c r="D13" s="308" t="str">
        <f>CONCATENATE('Исходные данные'!C23,'Исходные данные'!D23,'Исходные данные'!E23,'Исходные данные'!F23,"  ",'Исходные данные'!G23,"x",'Исходные данные'!H23,'Исходные данные'!I23,'Исходные данные'!J23,'Исходные данные'!K23, "-",'Исходные данные'!L23,'Исходные данные'!M23,'Исходные данные'!N23,'Исходные данные'!O23,'Исходные данные'!P23,'Исходные данные'!Q23,'Исходные данные'!R23)</f>
        <v xml:space="preserve">  x-----</v>
      </c>
      <c r="E13" s="176"/>
      <c r="F13" s="200" t="str">
        <f>IF('Исходные данные'!J23=1,"ВГ 199.01.00.001",IF('Исходные данные'!J23=2,"ВГ 199.01.00.008","---"))</f>
        <v>---</v>
      </c>
      <c r="G13" s="200" t="str">
        <f>IF('Исходные данные'!J23=1,"ВГ 199.01.00.002",IF('Исходные данные'!J23=2,"ВГ 199.01.00.007","---"))</f>
        <v>---</v>
      </c>
      <c r="H13" s="175" t="str">
        <f>CONCATENATE(F13,"----",'Исходные данные'!G23)</f>
        <v>-------</v>
      </c>
      <c r="I13" s="131" t="str">
        <f>CONCATENATE(G13,"----",'Исходные данные'!H23)</f>
        <v>-------</v>
      </c>
      <c r="J13" s="131"/>
      <c r="K13" s="336"/>
      <c r="L13" s="337">
        <f>'Исходные данные'!S23</f>
        <v>0</v>
      </c>
      <c r="M13" s="338" t="str">
        <f t="shared" si="0"/>
        <v>ОЦ</v>
      </c>
      <c r="N13" s="338">
        <f>'Исходные данные'!S23</f>
        <v>0</v>
      </c>
      <c r="O13" s="338" t="str">
        <f>CONCATENATE('Исходные данные'!G23,"x",'Исходные данные'!H23)</f>
        <v>x</v>
      </c>
      <c r="P13" s="338">
        <f t="shared" si="1"/>
        <v>0</v>
      </c>
      <c r="Q13" s="338" t="str">
        <f t="shared" si="2"/>
        <v>ОЦ</v>
      </c>
      <c r="R13" s="338" t="str">
        <f>IF('Исходные данные'!G23&gt;0,'Исходные данные'!G23-3,"---")</f>
        <v>---</v>
      </c>
      <c r="S13" s="338">
        <f t="shared" si="3"/>
        <v>0</v>
      </c>
      <c r="T13" s="338" t="str">
        <f>IF('Исходные данные'!G23&gt;0,'Исходные данные'!G23-3,"---")</f>
        <v>---</v>
      </c>
      <c r="U13" s="338">
        <f t="shared" si="4"/>
        <v>0</v>
      </c>
      <c r="V13" s="338">
        <f>IF('Исходные данные'!H23&lt;399,30,IF('Исходные данные'!H23&lt;401,95,IF('Исходные данные'!H23&gt;=450,135,0)))</f>
        <v>30</v>
      </c>
      <c r="W13" s="338">
        <f>IF('Исходные данные'!H23=0,0,'Исходные данные'!H23-'Комплектовочный лист'!V13-58.5)</f>
        <v>0</v>
      </c>
      <c r="X13" s="338">
        <f>IF('Комплектовочный лист'!E23&lt;400,30,IF('Комплектовочный лист'!E23&lt;450,95,IF('Комплектовочный лист'!E23&lt;=1200,135,0)))</f>
        <v>30</v>
      </c>
      <c r="Y13" s="338">
        <f t="shared" si="5"/>
        <v>0</v>
      </c>
      <c r="Z13" s="339">
        <f t="shared" si="6"/>
        <v>0</v>
      </c>
      <c r="AA13" s="339">
        <f t="shared" si="7"/>
        <v>0</v>
      </c>
      <c r="AB13" s="339">
        <f>'Задание на гибку'!AI13</f>
        <v>0</v>
      </c>
      <c r="AC13" s="339">
        <f>'Задание на гибку'!AJ13</f>
        <v>0</v>
      </c>
      <c r="AD13" s="339" t="str">
        <f>Сетка!B23</f>
        <v>---</v>
      </c>
      <c r="AE13" s="339" t="str">
        <f t="shared" si="8"/>
        <v>0х0</v>
      </c>
      <c r="AF13" s="339">
        <f t="shared" si="9"/>
        <v>0</v>
      </c>
      <c r="AG13" s="339">
        <f>МРП!F23</f>
        <v>0</v>
      </c>
      <c r="AH13" s="339">
        <f>МРП!B23</f>
        <v>0</v>
      </c>
      <c r="AI13" s="339">
        <f>МРП!C23*2</f>
        <v>0</v>
      </c>
      <c r="AJ13" s="339">
        <f>МРП!D23</f>
        <v>0</v>
      </c>
      <c r="AK13" s="309">
        <f>МРП!E23*2</f>
        <v>0</v>
      </c>
      <c r="AM13" s="483"/>
    </row>
    <row r="14" spans="1:66" ht="33" customHeight="1" thickBot="1">
      <c r="B14" s="127">
        <f t="shared" si="10"/>
        <v>8</v>
      </c>
      <c r="C14" s="347">
        <f>'Исходные данные'!B24</f>
        <v>0</v>
      </c>
      <c r="D14" s="308" t="str">
        <f>CONCATENATE('Исходные данные'!C24,'Исходные данные'!D24,'Исходные данные'!E24,'Исходные данные'!F24,"  ",'Исходные данные'!G24,"x",'Исходные данные'!H24,'Исходные данные'!I24,'Исходные данные'!J24,'Исходные данные'!K24, "-",'Исходные данные'!L24,'Исходные данные'!M24,'Исходные данные'!N24,'Исходные данные'!O24,'Исходные данные'!P24,'Исходные данные'!Q24,'Исходные данные'!R24)</f>
        <v xml:space="preserve">  x-----</v>
      </c>
      <c r="E14" s="176"/>
      <c r="F14" s="200" t="str">
        <f>IF('Исходные данные'!J24=1,"ВГ 199.01.00.001",IF('Исходные данные'!J24=2,"ВГ 199.01.00.008","---"))</f>
        <v>---</v>
      </c>
      <c r="G14" s="200" t="str">
        <f>IF('Исходные данные'!J24=1,"ВГ 199.01.00.002",IF('Исходные данные'!J24=2,"ВГ 199.01.00.007","---"))</f>
        <v>---</v>
      </c>
      <c r="H14" s="175" t="str">
        <f>CONCATENATE(F14,"----",'Исходные данные'!G24)</f>
        <v>-------</v>
      </c>
      <c r="I14" s="131" t="str">
        <f>CONCATENATE(G14,"----",'Исходные данные'!H24)</f>
        <v>-------</v>
      </c>
      <c r="J14" s="131"/>
      <c r="K14" s="336"/>
      <c r="L14" s="337">
        <f>'Исходные данные'!S24</f>
        <v>0</v>
      </c>
      <c r="M14" s="338" t="str">
        <f t="shared" si="0"/>
        <v>ОЦ</v>
      </c>
      <c r="N14" s="338">
        <f>'Исходные данные'!S24</f>
        <v>0</v>
      </c>
      <c r="O14" s="338" t="str">
        <f>CONCATENATE('Исходные данные'!G24,"x",'Исходные данные'!H24)</f>
        <v>x</v>
      </c>
      <c r="P14" s="338">
        <f t="shared" si="1"/>
        <v>0</v>
      </c>
      <c r="Q14" s="338" t="str">
        <f t="shared" si="2"/>
        <v>ОЦ</v>
      </c>
      <c r="R14" s="338" t="str">
        <f>IF('Исходные данные'!G24&gt;0,'Исходные данные'!G24-3,"---")</f>
        <v>---</v>
      </c>
      <c r="S14" s="338">
        <f t="shared" si="3"/>
        <v>0</v>
      </c>
      <c r="T14" s="338" t="str">
        <f>IF('Исходные данные'!G24&gt;0,'Исходные данные'!G24-3,"---")</f>
        <v>---</v>
      </c>
      <c r="U14" s="338">
        <f t="shared" si="4"/>
        <v>0</v>
      </c>
      <c r="V14" s="338">
        <f>IF('Исходные данные'!H24&lt;399,30,IF('Исходные данные'!H24&lt;401,95,IF('Исходные данные'!H24&gt;=450,135,0)))</f>
        <v>30</v>
      </c>
      <c r="W14" s="338">
        <f>IF('Исходные данные'!H24=0,0,'Исходные данные'!H24-'Комплектовочный лист'!V14-58.5)</f>
        <v>0</v>
      </c>
      <c r="X14" s="338">
        <f>IF('Комплектовочный лист'!E24&lt;400,30,IF('Комплектовочный лист'!E24&lt;450,95,IF('Комплектовочный лист'!E24&lt;=1200,135,0)))</f>
        <v>30</v>
      </c>
      <c r="Y14" s="338">
        <f t="shared" si="5"/>
        <v>0</v>
      </c>
      <c r="Z14" s="339">
        <f t="shared" si="6"/>
        <v>0</v>
      </c>
      <c r="AA14" s="339">
        <f t="shared" si="7"/>
        <v>0</v>
      </c>
      <c r="AB14" s="339">
        <f>'Задание на гибку'!AI14</f>
        <v>0</v>
      </c>
      <c r="AC14" s="339">
        <f>'Задание на гибку'!AJ14</f>
        <v>0</v>
      </c>
      <c r="AD14" s="339" t="str">
        <f>Сетка!B24</f>
        <v>---</v>
      </c>
      <c r="AE14" s="339" t="str">
        <f t="shared" si="8"/>
        <v>0х0</v>
      </c>
      <c r="AF14" s="339">
        <f t="shared" si="9"/>
        <v>0</v>
      </c>
      <c r="AG14" s="339">
        <f>МРП!F24</f>
        <v>0</v>
      </c>
      <c r="AH14" s="339">
        <f>МРП!B24</f>
        <v>0</v>
      </c>
      <c r="AI14" s="339">
        <f>МРП!C24*2</f>
        <v>0</v>
      </c>
      <c r="AJ14" s="339">
        <f>МРП!D24</f>
        <v>0</v>
      </c>
      <c r="AK14" s="309">
        <f>МРП!E24*2</f>
        <v>0</v>
      </c>
      <c r="AM14" s="483"/>
    </row>
    <row r="15" spans="1:66" ht="33" customHeight="1" thickBot="1">
      <c r="B15" s="127">
        <f t="shared" si="10"/>
        <v>9</v>
      </c>
      <c r="C15" s="347">
        <f>'Исходные данные'!B25</f>
        <v>0</v>
      </c>
      <c r="D15" s="308" t="str">
        <f>CONCATENATE('Исходные данные'!C25,'Исходные данные'!D25,'Исходные данные'!E25,'Исходные данные'!F25,"  ",'Исходные данные'!G25,"x",'Исходные данные'!H25,'Исходные данные'!I25,'Исходные данные'!J25,'Исходные данные'!K25, "-",'Исходные данные'!L25,'Исходные данные'!M25,'Исходные данные'!N25,'Исходные данные'!O25,'Исходные данные'!P25,'Исходные данные'!Q25,'Исходные данные'!R25)</f>
        <v xml:space="preserve">  x-----</v>
      </c>
      <c r="E15" s="176"/>
      <c r="F15" s="200" t="str">
        <f>IF('Исходные данные'!J25=1,"ВГ 199.01.00.001",IF('Исходные данные'!J25=2,"ВГ 199.01.00.008","---"))</f>
        <v>---</v>
      </c>
      <c r="G15" s="200" t="str">
        <f>IF('Исходные данные'!J25=1,"ВГ 199.01.00.002",IF('Исходные данные'!J25=2,"ВГ 199.01.00.007","---"))</f>
        <v>---</v>
      </c>
      <c r="H15" s="175" t="str">
        <f>CONCATENATE(F15,"----",'Исходные данные'!G25)</f>
        <v>-------</v>
      </c>
      <c r="I15" s="131" t="str">
        <f>CONCATENATE(G15,"----",'Исходные данные'!H25)</f>
        <v>-------</v>
      </c>
      <c r="J15" s="131"/>
      <c r="K15" s="336"/>
      <c r="L15" s="337">
        <f>'Исходные данные'!S25</f>
        <v>0</v>
      </c>
      <c r="M15" s="338" t="str">
        <f t="shared" si="0"/>
        <v>ОЦ</v>
      </c>
      <c r="N15" s="338">
        <f>'Исходные данные'!S25</f>
        <v>0</v>
      </c>
      <c r="O15" s="338" t="str">
        <f>CONCATENATE('Исходные данные'!G25,"x",'Исходные данные'!H25)</f>
        <v>x</v>
      </c>
      <c r="P15" s="338">
        <f t="shared" si="1"/>
        <v>0</v>
      </c>
      <c r="Q15" s="338" t="str">
        <f t="shared" si="2"/>
        <v>ОЦ</v>
      </c>
      <c r="R15" s="338" t="str">
        <f>IF('Исходные данные'!G25&gt;0,'Исходные данные'!G25-3,"---")</f>
        <v>---</v>
      </c>
      <c r="S15" s="338">
        <f t="shared" si="3"/>
        <v>0</v>
      </c>
      <c r="T15" s="338" t="str">
        <f>IF('Исходные данные'!G25&gt;0,'Исходные данные'!G25-3,"---")</f>
        <v>---</v>
      </c>
      <c r="U15" s="338">
        <f t="shared" si="4"/>
        <v>0</v>
      </c>
      <c r="V15" s="338">
        <f>IF('Исходные данные'!H25&lt;399,30,IF('Исходные данные'!H25&lt;401,95,IF('Исходные данные'!H25&gt;=450,135,0)))</f>
        <v>30</v>
      </c>
      <c r="W15" s="338">
        <f>IF('Исходные данные'!H25=0,0,'Исходные данные'!H25-'Комплектовочный лист'!V15-58.5)</f>
        <v>0</v>
      </c>
      <c r="X15" s="338">
        <f>IF('Комплектовочный лист'!E25&lt;400,30,IF('Комплектовочный лист'!E25&lt;450,95,IF('Комплектовочный лист'!E25&lt;=1200,135,0)))</f>
        <v>30</v>
      </c>
      <c r="Y15" s="338">
        <f t="shared" si="5"/>
        <v>0</v>
      </c>
      <c r="Z15" s="339">
        <f t="shared" si="6"/>
        <v>0</v>
      </c>
      <c r="AA15" s="339">
        <f t="shared" si="7"/>
        <v>0</v>
      </c>
      <c r="AB15" s="339">
        <f>'Задание на гибку'!AI15</f>
        <v>0</v>
      </c>
      <c r="AC15" s="339">
        <f>'Задание на гибку'!AJ15</f>
        <v>0</v>
      </c>
      <c r="AD15" s="339" t="str">
        <f>Сетка!B25</f>
        <v>---</v>
      </c>
      <c r="AE15" s="339" t="str">
        <f t="shared" si="8"/>
        <v>0х0</v>
      </c>
      <c r="AF15" s="339">
        <f t="shared" si="9"/>
        <v>0</v>
      </c>
      <c r="AG15" s="339">
        <f>МРП!F25</f>
        <v>0</v>
      </c>
      <c r="AH15" s="339">
        <f>МРП!B25</f>
        <v>0</v>
      </c>
      <c r="AI15" s="339">
        <f>МРП!C25*2</f>
        <v>0</v>
      </c>
      <c r="AJ15" s="339">
        <f>МРП!D25</f>
        <v>0</v>
      </c>
      <c r="AK15" s="309">
        <f>МРП!E25*2</f>
        <v>0</v>
      </c>
      <c r="AM15" s="483"/>
    </row>
    <row r="16" spans="1:66" ht="33" customHeight="1" thickBot="1">
      <c r="B16" s="127">
        <f t="shared" si="10"/>
        <v>10</v>
      </c>
      <c r="C16" s="347">
        <f>'Исходные данные'!B26</f>
        <v>0</v>
      </c>
      <c r="D16" s="308" t="str">
        <f>CONCATENATE('Исходные данные'!C26,'Исходные данные'!D26,'Исходные данные'!E26,'Исходные данные'!F26,"  ",'Исходные данные'!G26,"x",'Исходные данные'!H26,'Исходные данные'!I26,'Исходные данные'!J26,'Исходные данные'!K26, "-",'Исходные данные'!L26,'Исходные данные'!M26,'Исходные данные'!N26,'Исходные данные'!O26,'Исходные данные'!P26,'Исходные данные'!Q26,'Исходные данные'!R26)</f>
        <v xml:space="preserve">  x-----</v>
      </c>
      <c r="E16" s="176"/>
      <c r="F16" s="200" t="str">
        <f>IF('Исходные данные'!J26=1,"ВГ 199.01.00.001",IF('Исходные данные'!J26=2,"ВГ 199.01.00.008","---"))</f>
        <v>---</v>
      </c>
      <c r="G16" s="200" t="str">
        <f>IF('Исходные данные'!J26=1,"ВГ 199.01.00.002",IF('Исходные данные'!J26=2,"ВГ 199.01.00.007","---"))</f>
        <v>---</v>
      </c>
      <c r="H16" s="175" t="str">
        <f>CONCATENATE(F16,"----",'Исходные данные'!G26)</f>
        <v>-------</v>
      </c>
      <c r="I16" s="131" t="str">
        <f>CONCATENATE(G16,"----",'Исходные данные'!H26)</f>
        <v>-------</v>
      </c>
      <c r="J16" s="131"/>
      <c r="K16" s="336"/>
      <c r="L16" s="337">
        <f>'Исходные данные'!S26</f>
        <v>0</v>
      </c>
      <c r="M16" s="338" t="str">
        <f t="shared" si="0"/>
        <v>ОЦ</v>
      </c>
      <c r="N16" s="338">
        <f>'Исходные данные'!S26</f>
        <v>0</v>
      </c>
      <c r="O16" s="338" t="str">
        <f>CONCATENATE('Исходные данные'!G26,"x",'Исходные данные'!H26)</f>
        <v>x</v>
      </c>
      <c r="P16" s="338">
        <f t="shared" si="1"/>
        <v>0</v>
      </c>
      <c r="Q16" s="338" t="str">
        <f t="shared" si="2"/>
        <v>ОЦ</v>
      </c>
      <c r="R16" s="338" t="str">
        <f>IF('Исходные данные'!G26&gt;0,'Исходные данные'!G26-3,"---")</f>
        <v>---</v>
      </c>
      <c r="S16" s="338">
        <f t="shared" si="3"/>
        <v>0</v>
      </c>
      <c r="T16" s="338" t="str">
        <f>IF('Исходные данные'!G26&gt;0,'Исходные данные'!G26-3,"---")</f>
        <v>---</v>
      </c>
      <c r="U16" s="338">
        <f t="shared" si="4"/>
        <v>0</v>
      </c>
      <c r="V16" s="338">
        <f>IF('Исходные данные'!H26&lt;399,30,IF('Исходные данные'!H26&lt;401,95,IF('Исходные данные'!H26&gt;=450,135,0)))</f>
        <v>30</v>
      </c>
      <c r="W16" s="338">
        <f>IF('Исходные данные'!H26=0,0,'Исходные данные'!H26-'Комплектовочный лист'!V16-58.5)</f>
        <v>0</v>
      </c>
      <c r="X16" s="338">
        <f>IF('Комплектовочный лист'!E26&lt;400,30,IF('Комплектовочный лист'!E26&lt;450,95,IF('Комплектовочный лист'!E26&lt;=1200,135,0)))</f>
        <v>30</v>
      </c>
      <c r="Y16" s="338">
        <f t="shared" si="5"/>
        <v>0</v>
      </c>
      <c r="Z16" s="339">
        <f t="shared" si="6"/>
        <v>0</v>
      </c>
      <c r="AA16" s="339">
        <f t="shared" si="7"/>
        <v>0</v>
      </c>
      <c r="AB16" s="339">
        <f>'Задание на гибку'!AI16</f>
        <v>0</v>
      </c>
      <c r="AC16" s="339">
        <f>'Задание на гибку'!AJ16</f>
        <v>0</v>
      </c>
      <c r="AD16" s="339" t="str">
        <f>Сетка!B26</f>
        <v>---</v>
      </c>
      <c r="AE16" s="339" t="str">
        <f t="shared" si="8"/>
        <v>0х0</v>
      </c>
      <c r="AF16" s="339">
        <f t="shared" si="9"/>
        <v>0</v>
      </c>
      <c r="AG16" s="339">
        <f>МРП!F26</f>
        <v>0</v>
      </c>
      <c r="AH16" s="339">
        <f>МРП!B26</f>
        <v>0</v>
      </c>
      <c r="AI16" s="339">
        <f>МРП!C26*2</f>
        <v>0</v>
      </c>
      <c r="AJ16" s="339">
        <f>МРП!D26</f>
        <v>0</v>
      </c>
      <c r="AK16" s="309">
        <f>МРП!E26*2</f>
        <v>0</v>
      </c>
      <c r="AM16" s="483"/>
    </row>
    <row r="17" spans="1:39" ht="33" customHeight="1" thickBot="1">
      <c r="A17" s="416"/>
      <c r="B17" s="127">
        <f t="shared" si="10"/>
        <v>11</v>
      </c>
      <c r="C17" s="347">
        <f>'Исходные данные'!B27</f>
        <v>0</v>
      </c>
      <c r="D17" s="308" t="str">
        <f>CONCATENATE('Исходные данные'!C27,'Исходные данные'!D27,'Исходные данные'!E27,'Исходные данные'!F27,"  ",'Исходные данные'!G27,"x",'Исходные данные'!H27,'Исходные данные'!I27,'Исходные данные'!J27,'Исходные данные'!K27, "-",'Исходные данные'!L27,'Исходные данные'!M27,'Исходные данные'!N27,'Исходные данные'!O27,'Исходные данные'!P27,'Исходные данные'!Q27,'Исходные данные'!R27)</f>
        <v xml:space="preserve">  x-----</v>
      </c>
      <c r="E17" s="176"/>
      <c r="F17" s="200" t="str">
        <f>IF('Исходные данные'!J27=1,"ВГ 199.01.00.001",IF('Исходные данные'!J27=2,"ВГ 199.01.00.008","---"))</f>
        <v>---</v>
      </c>
      <c r="G17" s="200" t="str">
        <f>IF('Исходные данные'!J27=1,"ВГ 199.01.00.002",IF('Исходные данные'!J27=2,"ВГ 199.01.00.007","---"))</f>
        <v>---</v>
      </c>
      <c r="H17" s="175" t="str">
        <f>CONCATENATE(F17,"----",'Исходные данные'!G27)</f>
        <v>-------</v>
      </c>
      <c r="I17" s="131" t="str">
        <f>CONCATENATE(G17,"----",'Исходные данные'!H27)</f>
        <v>-------</v>
      </c>
      <c r="J17" s="131"/>
      <c r="K17" s="336"/>
      <c r="L17" s="337">
        <f>'Исходные данные'!S27</f>
        <v>0</v>
      </c>
      <c r="M17" s="338" t="str">
        <f t="shared" si="0"/>
        <v>ОЦ</v>
      </c>
      <c r="N17" s="338">
        <f>'Исходные данные'!S27</f>
        <v>0</v>
      </c>
      <c r="O17" s="338" t="str">
        <f>CONCATENATE('Исходные данные'!G27,"x",'Исходные данные'!H27)</f>
        <v>x</v>
      </c>
      <c r="P17" s="338">
        <f t="shared" si="1"/>
        <v>0</v>
      </c>
      <c r="Q17" s="338" t="str">
        <f t="shared" si="2"/>
        <v>ОЦ</v>
      </c>
      <c r="R17" s="338" t="str">
        <f>IF('Исходные данные'!G27&gt;0,'Исходные данные'!G27-3,"---")</f>
        <v>---</v>
      </c>
      <c r="S17" s="338">
        <f t="shared" si="3"/>
        <v>0</v>
      </c>
      <c r="T17" s="338" t="str">
        <f>IF('Исходные данные'!G27&gt;0,'Исходные данные'!G27-3,"---")</f>
        <v>---</v>
      </c>
      <c r="U17" s="338">
        <f t="shared" si="4"/>
        <v>0</v>
      </c>
      <c r="V17" s="338">
        <f>IF('Исходные данные'!H27&lt;399,30,IF('Исходные данные'!H27&lt;401,95,IF('Исходные данные'!H27&gt;=450,135,0)))</f>
        <v>30</v>
      </c>
      <c r="W17" s="338">
        <f>IF('Исходные данные'!H27=0,0,'Исходные данные'!H27-'Комплектовочный лист'!V17-58.5)</f>
        <v>0</v>
      </c>
      <c r="X17" s="338">
        <f>IF('Комплектовочный лист'!E27&lt;400,30,IF('Комплектовочный лист'!E27&lt;450,95,IF('Комплектовочный лист'!E27&lt;=1200,135,0)))</f>
        <v>30</v>
      </c>
      <c r="Y17" s="338">
        <f t="shared" si="5"/>
        <v>0</v>
      </c>
      <c r="Z17" s="339">
        <f t="shared" si="6"/>
        <v>0</v>
      </c>
      <c r="AA17" s="339">
        <f t="shared" si="7"/>
        <v>0</v>
      </c>
      <c r="AB17" s="339">
        <f>'Задание на гибку'!AI17</f>
        <v>0</v>
      </c>
      <c r="AC17" s="339">
        <f>'Задание на гибку'!AJ17</f>
        <v>0</v>
      </c>
      <c r="AD17" s="339" t="str">
        <f>Сетка!B27</f>
        <v>---</v>
      </c>
      <c r="AE17" s="339" t="str">
        <f t="shared" si="8"/>
        <v>0х0</v>
      </c>
      <c r="AF17" s="339">
        <f t="shared" si="9"/>
        <v>0</v>
      </c>
      <c r="AG17" s="339">
        <f>МРП!F27</f>
        <v>0</v>
      </c>
      <c r="AH17" s="339">
        <f>МРП!B27</f>
        <v>0</v>
      </c>
      <c r="AI17" s="339">
        <f>МРП!C27*2</f>
        <v>0</v>
      </c>
      <c r="AJ17" s="339">
        <f>МРП!D27</f>
        <v>0</v>
      </c>
      <c r="AK17" s="309">
        <f>МРП!E27*2</f>
        <v>0</v>
      </c>
      <c r="AM17" s="483"/>
    </row>
    <row r="18" spans="1:39" ht="33" customHeight="1" thickBot="1">
      <c r="A18" s="416"/>
      <c r="B18" s="127">
        <f t="shared" si="10"/>
        <v>12</v>
      </c>
      <c r="C18" s="347">
        <f>'Исходные данные'!B28</f>
        <v>0</v>
      </c>
      <c r="D18" s="308" t="str">
        <f>CONCATENATE('Исходные данные'!C28,'Исходные данные'!D28,'Исходные данные'!E28,'Исходные данные'!F28,"  ",'Исходные данные'!G28,"x",'Исходные данные'!H28,'Исходные данные'!I28,'Исходные данные'!J28,'Исходные данные'!K28, "-",'Исходные данные'!L28,'Исходные данные'!M28,'Исходные данные'!N28,'Исходные данные'!O28,'Исходные данные'!P28,'Исходные данные'!Q28,'Исходные данные'!R28)</f>
        <v xml:space="preserve">  x-----</v>
      </c>
      <c r="E18" s="176"/>
      <c r="F18" s="200" t="str">
        <f>IF('Исходные данные'!J28=1,"ВГ 199.01.00.001",IF('Исходные данные'!J28=2,"ВГ 199.01.00.008","---"))</f>
        <v>---</v>
      </c>
      <c r="G18" s="200" t="str">
        <f>IF('Исходные данные'!J28=1,"ВГ 199.01.00.002",IF('Исходные данные'!J28=2,"ВГ 199.01.00.007","---"))</f>
        <v>---</v>
      </c>
      <c r="H18" s="175" t="str">
        <f>CONCATENATE(F18,"----",'Исходные данные'!G28)</f>
        <v>-------</v>
      </c>
      <c r="I18" s="131" t="str">
        <f>CONCATENATE(G18,"----",'Исходные данные'!H28)</f>
        <v>-------</v>
      </c>
      <c r="J18" s="131"/>
      <c r="K18" s="336"/>
      <c r="L18" s="337">
        <f>'Исходные данные'!S28</f>
        <v>0</v>
      </c>
      <c r="M18" s="338" t="str">
        <f t="shared" si="0"/>
        <v>ОЦ</v>
      </c>
      <c r="N18" s="338">
        <f>'Исходные данные'!S28</f>
        <v>0</v>
      </c>
      <c r="O18" s="338" t="str">
        <f>CONCATENATE('Исходные данные'!G28,"x",'Исходные данные'!H28)</f>
        <v>x</v>
      </c>
      <c r="P18" s="338">
        <f t="shared" si="1"/>
        <v>0</v>
      </c>
      <c r="Q18" s="338" t="str">
        <f t="shared" si="2"/>
        <v>ОЦ</v>
      </c>
      <c r="R18" s="338" t="str">
        <f>IF('Исходные данные'!G28&gt;0,'Исходные данные'!G28-3,"---")</f>
        <v>---</v>
      </c>
      <c r="S18" s="338">
        <f t="shared" si="3"/>
        <v>0</v>
      </c>
      <c r="T18" s="338" t="str">
        <f>IF('Исходные данные'!G28&gt;0,'Исходные данные'!G28-3,"---")</f>
        <v>---</v>
      </c>
      <c r="U18" s="338">
        <f t="shared" si="4"/>
        <v>0</v>
      </c>
      <c r="V18" s="338">
        <f>IF('Исходные данные'!H28&lt;399,30,IF('Исходные данные'!H28&lt;401,95,IF('Исходные данные'!H28&gt;=450,135,0)))</f>
        <v>30</v>
      </c>
      <c r="W18" s="338">
        <f>IF('Исходные данные'!H28=0,0,'Исходные данные'!H28-'Комплектовочный лист'!V18-58.5)</f>
        <v>0</v>
      </c>
      <c r="X18" s="338">
        <f>IF('Комплектовочный лист'!E28&lt;400,30,IF('Комплектовочный лист'!E28&lt;450,95,IF('Комплектовочный лист'!E28&lt;=1200,135,0)))</f>
        <v>30</v>
      </c>
      <c r="Y18" s="338">
        <f t="shared" si="5"/>
        <v>0</v>
      </c>
      <c r="Z18" s="339">
        <f t="shared" si="6"/>
        <v>0</v>
      </c>
      <c r="AA18" s="339">
        <f t="shared" si="7"/>
        <v>0</v>
      </c>
      <c r="AB18" s="339">
        <f>'Задание на гибку'!AI18</f>
        <v>0</v>
      </c>
      <c r="AC18" s="339">
        <f>'Задание на гибку'!AJ18</f>
        <v>0</v>
      </c>
      <c r="AD18" s="339" t="str">
        <f>Сетка!B28</f>
        <v>---</v>
      </c>
      <c r="AE18" s="339" t="str">
        <f t="shared" si="8"/>
        <v>0х0</v>
      </c>
      <c r="AF18" s="339">
        <f t="shared" si="9"/>
        <v>0</v>
      </c>
      <c r="AG18" s="339">
        <f>МРП!F28</f>
        <v>0</v>
      </c>
      <c r="AH18" s="339">
        <f>МРП!B28</f>
        <v>0</v>
      </c>
      <c r="AI18" s="339">
        <f>МРП!C28*2</f>
        <v>0</v>
      </c>
      <c r="AJ18" s="339">
        <f>МРП!D28</f>
        <v>0</v>
      </c>
      <c r="AK18" s="309">
        <f>МРП!E28*2</f>
        <v>0</v>
      </c>
      <c r="AM18" s="483"/>
    </row>
    <row r="19" spans="1:39" ht="33" customHeight="1" thickBot="1">
      <c r="A19" s="416"/>
      <c r="B19" s="127">
        <f t="shared" si="10"/>
        <v>13</v>
      </c>
      <c r="C19" s="347">
        <f>'Исходные данные'!B29</f>
        <v>0</v>
      </c>
      <c r="D19" s="308" t="str">
        <f>CONCATENATE('Исходные данные'!C29,'Исходные данные'!D29,'Исходные данные'!E29,'Исходные данные'!F29,"  ",'Исходные данные'!G29,"x",'Исходные данные'!H29,'Исходные данные'!I29,'Исходные данные'!J29,'Исходные данные'!K29, "-",'Исходные данные'!L29,'Исходные данные'!M29,'Исходные данные'!N29,'Исходные данные'!O29,'Исходные данные'!P29,'Исходные данные'!Q29,'Исходные данные'!R29)</f>
        <v xml:space="preserve">  x-----</v>
      </c>
      <c r="E19" s="176"/>
      <c r="F19" s="200" t="str">
        <f>IF('Исходные данные'!J29=1,"ВГ 199.01.00.001",IF('Исходные данные'!J29=2,"ВГ 199.01.00.008","---"))</f>
        <v>---</v>
      </c>
      <c r="G19" s="200" t="str">
        <f>IF('Исходные данные'!J29=1,"ВГ 199.01.00.002",IF('Исходные данные'!J29=2,"ВГ 199.01.00.007","---"))</f>
        <v>---</v>
      </c>
      <c r="H19" s="175" t="str">
        <f>CONCATENATE(F19,"----",'Исходные данные'!G29)</f>
        <v>-------</v>
      </c>
      <c r="I19" s="131" t="str">
        <f>CONCATENATE(G19,"----",'Исходные данные'!H29)</f>
        <v>-------</v>
      </c>
      <c r="J19" s="131"/>
      <c r="K19" s="336"/>
      <c r="L19" s="337">
        <f>'Исходные данные'!S29</f>
        <v>0</v>
      </c>
      <c r="M19" s="338" t="str">
        <f t="shared" si="0"/>
        <v>ОЦ</v>
      </c>
      <c r="N19" s="338">
        <f>'Исходные данные'!S29</f>
        <v>0</v>
      </c>
      <c r="O19" s="338" t="str">
        <f>CONCATENATE('Исходные данные'!G29,"x",'Исходные данные'!H29)</f>
        <v>x</v>
      </c>
      <c r="P19" s="338">
        <f t="shared" si="1"/>
        <v>0</v>
      </c>
      <c r="Q19" s="338" t="str">
        <f t="shared" si="2"/>
        <v>ОЦ</v>
      </c>
      <c r="R19" s="338" t="str">
        <f>IF('Исходные данные'!G29&gt;0,'Исходные данные'!G29-3,"---")</f>
        <v>---</v>
      </c>
      <c r="S19" s="338">
        <f t="shared" si="3"/>
        <v>0</v>
      </c>
      <c r="T19" s="338" t="str">
        <f>IF('Исходные данные'!G29&gt;0,'Исходные данные'!G29-3,"---")</f>
        <v>---</v>
      </c>
      <c r="U19" s="338">
        <f t="shared" si="4"/>
        <v>0</v>
      </c>
      <c r="V19" s="338">
        <f>IF('Исходные данные'!H29&lt;399,30,IF('Исходные данные'!H29&lt;401,95,IF('Исходные данные'!H29&gt;=450,135,0)))</f>
        <v>30</v>
      </c>
      <c r="W19" s="338">
        <f>IF('Исходные данные'!H29=0,0,'Исходные данные'!H29-'Комплектовочный лист'!V19-58.5)</f>
        <v>0</v>
      </c>
      <c r="X19" s="338">
        <f>IF('Комплектовочный лист'!E29&lt;400,30,IF('Комплектовочный лист'!E29&lt;450,95,IF('Комплектовочный лист'!E29&lt;=1200,135,0)))</f>
        <v>30</v>
      </c>
      <c r="Y19" s="338">
        <f t="shared" si="5"/>
        <v>0</v>
      </c>
      <c r="Z19" s="339">
        <f t="shared" si="6"/>
        <v>0</v>
      </c>
      <c r="AA19" s="339">
        <f t="shared" si="7"/>
        <v>0</v>
      </c>
      <c r="AB19" s="339">
        <f>'Задание на гибку'!AI19</f>
        <v>0</v>
      </c>
      <c r="AC19" s="339">
        <f>'Задание на гибку'!AJ19</f>
        <v>0</v>
      </c>
      <c r="AD19" s="339" t="str">
        <f>Сетка!B29</f>
        <v>---</v>
      </c>
      <c r="AE19" s="339" t="str">
        <f t="shared" si="8"/>
        <v>0х0</v>
      </c>
      <c r="AF19" s="339">
        <f t="shared" si="9"/>
        <v>0</v>
      </c>
      <c r="AG19" s="339">
        <f>МРП!F29</f>
        <v>0</v>
      </c>
      <c r="AH19" s="339">
        <f>МРП!B29</f>
        <v>0</v>
      </c>
      <c r="AI19" s="339">
        <f>МРП!C29*2</f>
        <v>0</v>
      </c>
      <c r="AJ19" s="339">
        <f>МРП!D29</f>
        <v>0</v>
      </c>
      <c r="AK19" s="309">
        <f>МРП!E29*2</f>
        <v>0</v>
      </c>
      <c r="AM19" s="483"/>
    </row>
    <row r="20" spans="1:39" ht="33" customHeight="1" thickBot="1">
      <c r="A20" s="416"/>
      <c r="B20" s="127">
        <f t="shared" si="10"/>
        <v>14</v>
      </c>
      <c r="C20" s="347">
        <f>'Исходные данные'!B30</f>
        <v>0</v>
      </c>
      <c r="D20" s="308" t="str">
        <f>CONCATENATE('Исходные данные'!C30,'Исходные данные'!D30,'Исходные данные'!E30,'Исходные данные'!F30,"  ",'Исходные данные'!G30,"x",'Исходные данные'!H30,'Исходные данные'!I30,'Исходные данные'!J30,'Исходные данные'!K30, "-",'Исходные данные'!L30,'Исходные данные'!M30,'Исходные данные'!N30,'Исходные данные'!O30,'Исходные данные'!P30,'Исходные данные'!Q30,'Исходные данные'!R30)</f>
        <v xml:space="preserve">  x-----</v>
      </c>
      <c r="E20" s="176"/>
      <c r="F20" s="200" t="str">
        <f>IF('Исходные данные'!J30=1,"ВГ 199.01.00.001",IF('Исходные данные'!J30=2,"ВГ 199.01.00.008","---"))</f>
        <v>---</v>
      </c>
      <c r="G20" s="200" t="str">
        <f>IF('Исходные данные'!J30=1,"ВГ 199.01.00.002",IF('Исходные данные'!J30=2,"ВГ 199.01.00.007","---"))</f>
        <v>---</v>
      </c>
      <c r="H20" s="175" t="str">
        <f>CONCATENATE(F20,"----",'Исходные данные'!G30)</f>
        <v>-------</v>
      </c>
      <c r="I20" s="131" t="str">
        <f>CONCATENATE(G20,"----",'Исходные данные'!H30)</f>
        <v>-------</v>
      </c>
      <c r="J20" s="131"/>
      <c r="K20" s="336"/>
      <c r="L20" s="337">
        <f>'Исходные данные'!S30</f>
        <v>0</v>
      </c>
      <c r="M20" s="338" t="str">
        <f t="shared" si="0"/>
        <v>ОЦ</v>
      </c>
      <c r="N20" s="338">
        <f>'Исходные данные'!S30</f>
        <v>0</v>
      </c>
      <c r="O20" s="338" t="str">
        <f>CONCATENATE('Исходные данные'!G30,"x",'Исходные данные'!H30)</f>
        <v>x</v>
      </c>
      <c r="P20" s="338">
        <f t="shared" si="1"/>
        <v>0</v>
      </c>
      <c r="Q20" s="338" t="str">
        <f t="shared" si="2"/>
        <v>ОЦ</v>
      </c>
      <c r="R20" s="338" t="str">
        <f>IF('Исходные данные'!G30&gt;0,'Исходные данные'!G30-3,"---")</f>
        <v>---</v>
      </c>
      <c r="S20" s="338">
        <f t="shared" si="3"/>
        <v>0</v>
      </c>
      <c r="T20" s="338" t="str">
        <f>IF('Исходные данные'!G30&gt;0,'Исходные данные'!G30-3,"---")</f>
        <v>---</v>
      </c>
      <c r="U20" s="338">
        <f t="shared" si="4"/>
        <v>0</v>
      </c>
      <c r="V20" s="338">
        <f>IF('Исходные данные'!H30&lt;399,30,IF('Исходные данные'!H30&lt;401,95,IF('Исходные данные'!H30&gt;=450,135,0)))</f>
        <v>30</v>
      </c>
      <c r="W20" s="338">
        <f>IF('Исходные данные'!H30=0,0,'Исходные данные'!H30-'Комплектовочный лист'!V20-58.5)</f>
        <v>0</v>
      </c>
      <c r="X20" s="338">
        <f>IF('Комплектовочный лист'!E30&lt;400,30,IF('Комплектовочный лист'!E30&lt;450,95,IF('Комплектовочный лист'!E30&lt;=1200,135,0)))</f>
        <v>30</v>
      </c>
      <c r="Y20" s="338">
        <f t="shared" si="5"/>
        <v>0</v>
      </c>
      <c r="Z20" s="339">
        <f t="shared" si="6"/>
        <v>0</v>
      </c>
      <c r="AA20" s="339">
        <f t="shared" si="7"/>
        <v>0</v>
      </c>
      <c r="AB20" s="339">
        <f>'Задание на гибку'!AI20</f>
        <v>0</v>
      </c>
      <c r="AC20" s="339">
        <f>'Задание на гибку'!AJ20</f>
        <v>0</v>
      </c>
      <c r="AD20" s="339" t="str">
        <f>Сетка!B30</f>
        <v>---</v>
      </c>
      <c r="AE20" s="339" t="str">
        <f t="shared" si="8"/>
        <v>0х0</v>
      </c>
      <c r="AF20" s="339">
        <f t="shared" si="9"/>
        <v>0</v>
      </c>
      <c r="AG20" s="339">
        <f>МРП!F30</f>
        <v>0</v>
      </c>
      <c r="AH20" s="339">
        <f>МРП!B30</f>
        <v>0</v>
      </c>
      <c r="AI20" s="339">
        <f>МРП!C30*2</f>
        <v>0</v>
      </c>
      <c r="AJ20" s="339">
        <f>МРП!D30</f>
        <v>0</v>
      </c>
      <c r="AK20" s="309">
        <f>МРП!E30*2</f>
        <v>0</v>
      </c>
      <c r="AM20" s="483"/>
    </row>
    <row r="21" spans="1:39" ht="33" customHeight="1">
      <c r="A21" s="416"/>
      <c r="B21" s="127">
        <f t="shared" si="10"/>
        <v>15</v>
      </c>
      <c r="C21" s="347">
        <f>'Исходные данные'!B31</f>
        <v>0</v>
      </c>
      <c r="D21" s="308" t="str">
        <f>CONCATENATE('Исходные данные'!C31,'Исходные данные'!D31,'Исходные данные'!E31,'Исходные данные'!F31,"  ",'Исходные данные'!G31,"x",'Исходные данные'!H31,'Исходные данные'!I31,'Исходные данные'!J31,'Исходные данные'!K31, "-",'Исходные данные'!L31,'Исходные данные'!M31,'Исходные данные'!N31,'Исходные данные'!O31,'Исходные данные'!P31,'Исходные данные'!Q31,'Исходные данные'!R31)</f>
        <v xml:space="preserve">  x-----</v>
      </c>
      <c r="E21" s="176"/>
      <c r="F21" s="200" t="str">
        <f>IF('Исходные данные'!J31=1,"ВГ 199.01.00.001",IF('Исходные данные'!J31=2,"ВГ 199.01.00.008","---"))</f>
        <v>---</v>
      </c>
      <c r="G21" s="200" t="str">
        <f>IF('Исходные данные'!J31=1,"ВГ 199.01.00.002",IF('Исходные данные'!J31=2,"ВГ 199.01.00.007","---"))</f>
        <v>---</v>
      </c>
      <c r="H21" s="175" t="str">
        <f>CONCATENATE(F21,"----",'Исходные данные'!G31)</f>
        <v>-------</v>
      </c>
      <c r="I21" s="131" t="str">
        <f>CONCATENATE(G21,"----",'Исходные данные'!H31)</f>
        <v>-------</v>
      </c>
      <c r="J21" s="131"/>
      <c r="K21" s="336"/>
      <c r="L21" s="337">
        <f>'Исходные данные'!S31</f>
        <v>0</v>
      </c>
      <c r="M21" s="338" t="str">
        <f t="shared" si="0"/>
        <v>ОЦ</v>
      </c>
      <c r="N21" s="338">
        <f>'Исходные данные'!S31</f>
        <v>0</v>
      </c>
      <c r="O21" s="338" t="str">
        <f>CONCATENATE('Исходные данные'!G31,"x",'Исходные данные'!H31)</f>
        <v>x</v>
      </c>
      <c r="P21" s="338">
        <f t="shared" si="1"/>
        <v>0</v>
      </c>
      <c r="Q21" s="338" t="str">
        <f t="shared" si="2"/>
        <v>ОЦ</v>
      </c>
      <c r="R21" s="338" t="str">
        <f>IF('Исходные данные'!G31&gt;0,'Исходные данные'!G31-3,"---")</f>
        <v>---</v>
      </c>
      <c r="S21" s="338">
        <f t="shared" si="3"/>
        <v>0</v>
      </c>
      <c r="T21" s="338" t="str">
        <f>IF('Исходные данные'!G31&gt;0,'Исходные данные'!G31-3,"---")</f>
        <v>---</v>
      </c>
      <c r="U21" s="338">
        <f t="shared" si="4"/>
        <v>0</v>
      </c>
      <c r="V21" s="338">
        <f>IF('Исходные данные'!H31&lt;399,30,IF('Исходные данные'!H31&lt;401,95,IF('Исходные данные'!H31&gt;=450,135,0)))</f>
        <v>30</v>
      </c>
      <c r="W21" s="338">
        <f>IF('Исходные данные'!H31=0,0,'Исходные данные'!H31-'Комплектовочный лист'!V21-58.5)</f>
        <v>0</v>
      </c>
      <c r="X21" s="338">
        <f>IF('Комплектовочный лист'!E31&lt;400,30,IF('Комплектовочный лист'!E31&lt;450,95,IF('Комплектовочный лист'!E31&lt;=1200,135,0)))</f>
        <v>30</v>
      </c>
      <c r="Y21" s="338">
        <f t="shared" si="5"/>
        <v>0</v>
      </c>
      <c r="Z21" s="339">
        <f t="shared" si="6"/>
        <v>0</v>
      </c>
      <c r="AA21" s="339">
        <f t="shared" si="7"/>
        <v>0</v>
      </c>
      <c r="AB21" s="339">
        <f>'Задание на гибку'!AI21</f>
        <v>0</v>
      </c>
      <c r="AC21" s="339">
        <f>'Задание на гибку'!AJ21</f>
        <v>0</v>
      </c>
      <c r="AD21" s="339" t="str">
        <f>Сетка!B31</f>
        <v>---</v>
      </c>
      <c r="AE21" s="339" t="str">
        <f t="shared" si="8"/>
        <v>0х0</v>
      </c>
      <c r="AF21" s="339">
        <f t="shared" si="9"/>
        <v>0</v>
      </c>
      <c r="AG21" s="339">
        <f>МРП!F31</f>
        <v>0</v>
      </c>
      <c r="AH21" s="339">
        <f>МРП!B31</f>
        <v>0</v>
      </c>
      <c r="AI21" s="339">
        <f>МРП!C31*2</f>
        <v>0</v>
      </c>
      <c r="AJ21" s="339">
        <f>МРП!D31</f>
        <v>0</v>
      </c>
      <c r="AK21" s="309">
        <f>МРП!E31*2</f>
        <v>0</v>
      </c>
      <c r="AM21" s="483"/>
    </row>
    <row r="22" spans="1:39" ht="18.75" hidden="1" customHeight="1">
      <c r="A22" s="416"/>
      <c r="B22" s="127">
        <f t="shared" si="10"/>
        <v>16</v>
      </c>
      <c r="C22" s="4"/>
      <c r="D22" s="4"/>
      <c r="E22" s="4"/>
      <c r="F22" s="201"/>
      <c r="G22" s="201"/>
      <c r="H22" s="128"/>
      <c r="I22" s="129"/>
      <c r="J22" s="129"/>
      <c r="K22" s="129"/>
      <c r="L22" s="129"/>
      <c r="M22" s="129"/>
      <c r="N22" s="130"/>
      <c r="O22" s="129"/>
      <c r="P22" s="129"/>
      <c r="Q22" s="129"/>
      <c r="R22" s="129"/>
      <c r="S22" s="171">
        <f t="shared" ref="S22:S27" si="11">P22</f>
        <v>0</v>
      </c>
      <c r="T22" s="170">
        <f t="shared" ref="T22:T27" si="12">H22-3</f>
        <v>-3</v>
      </c>
      <c r="U22" s="132"/>
      <c r="V22" s="132"/>
      <c r="W22" s="132"/>
      <c r="X22" s="132"/>
      <c r="Y22" s="133"/>
      <c r="Z22" s="133"/>
      <c r="AA22" s="133"/>
      <c r="AB22" s="133"/>
      <c r="AC22" s="133"/>
      <c r="AD22" s="133"/>
      <c r="AE22" s="133"/>
      <c r="AF22" s="133"/>
      <c r="AG22" s="204"/>
      <c r="AH22" s="183"/>
    </row>
    <row r="23" spans="1:39" ht="18.75" hidden="1" customHeight="1">
      <c r="A23" s="416"/>
      <c r="B23" s="127">
        <f t="shared" si="10"/>
        <v>17</v>
      </c>
      <c r="C23" s="4"/>
      <c r="D23" s="4"/>
      <c r="E23" s="4"/>
      <c r="F23" s="4"/>
      <c r="G23" s="4"/>
      <c r="H23" s="135"/>
      <c r="I23" s="136"/>
      <c r="J23" s="129"/>
      <c r="K23" s="129"/>
      <c r="L23" s="129"/>
      <c r="M23" s="129"/>
      <c r="N23" s="137"/>
      <c r="O23" s="129"/>
      <c r="P23" s="129"/>
      <c r="Q23" s="129"/>
      <c r="R23" s="136"/>
      <c r="S23" s="171">
        <f t="shared" si="11"/>
        <v>0</v>
      </c>
      <c r="T23" s="170">
        <f t="shared" si="12"/>
        <v>-3</v>
      </c>
      <c r="U23" s="132"/>
      <c r="V23" s="132"/>
      <c r="W23" s="132"/>
      <c r="X23" s="132"/>
      <c r="Y23" s="138"/>
      <c r="Z23" s="133"/>
      <c r="AA23" s="133"/>
      <c r="AB23" s="133"/>
      <c r="AC23" s="133"/>
      <c r="AD23" s="133"/>
      <c r="AE23" s="133"/>
      <c r="AF23" s="133"/>
      <c r="AG23" s="205"/>
      <c r="AH23" s="134"/>
    </row>
    <row r="24" spans="1:39" ht="18.75" hidden="1" customHeight="1">
      <c r="A24" s="416"/>
      <c r="B24" s="127">
        <f t="shared" si="10"/>
        <v>18</v>
      </c>
      <c r="C24" s="4"/>
      <c r="D24" s="4"/>
      <c r="E24" s="4"/>
      <c r="F24" s="4"/>
      <c r="G24" s="4"/>
      <c r="H24" s="135"/>
      <c r="I24" s="136"/>
      <c r="J24" s="129"/>
      <c r="K24" s="129"/>
      <c r="L24" s="129"/>
      <c r="M24" s="129"/>
      <c r="N24" s="137"/>
      <c r="O24" s="129"/>
      <c r="P24" s="129"/>
      <c r="Q24" s="129"/>
      <c r="R24" s="136"/>
      <c r="S24" s="171">
        <f t="shared" si="11"/>
        <v>0</v>
      </c>
      <c r="T24" s="170">
        <f t="shared" si="12"/>
        <v>-3</v>
      </c>
      <c r="U24" s="132"/>
      <c r="V24" s="132"/>
      <c r="W24" s="132"/>
      <c r="X24" s="132"/>
      <c r="Y24" s="138"/>
      <c r="Z24" s="133"/>
      <c r="AA24" s="133"/>
      <c r="AB24" s="133"/>
      <c r="AC24" s="133"/>
      <c r="AD24" s="133"/>
      <c r="AE24" s="133"/>
      <c r="AF24" s="133"/>
      <c r="AG24" s="205"/>
      <c r="AH24" s="134"/>
    </row>
    <row r="25" spans="1:39" ht="18.75" hidden="1" customHeight="1">
      <c r="A25" s="416"/>
      <c r="B25" s="127">
        <f>B24+1</f>
        <v>19</v>
      </c>
      <c r="C25" s="4"/>
      <c r="D25" s="4"/>
      <c r="E25" s="4"/>
      <c r="F25" s="4"/>
      <c r="G25" s="4"/>
      <c r="H25" s="135"/>
      <c r="I25" s="136"/>
      <c r="J25" s="129"/>
      <c r="K25" s="129"/>
      <c r="L25" s="129"/>
      <c r="M25" s="129"/>
      <c r="N25" s="137"/>
      <c r="O25" s="129"/>
      <c r="P25" s="129"/>
      <c r="Q25" s="129"/>
      <c r="R25" s="136"/>
      <c r="S25" s="171">
        <f t="shared" si="11"/>
        <v>0</v>
      </c>
      <c r="T25" s="170">
        <f t="shared" si="12"/>
        <v>-3</v>
      </c>
      <c r="U25" s="132"/>
      <c r="V25" s="132"/>
      <c r="W25" s="132"/>
      <c r="X25" s="132"/>
      <c r="Y25" s="138"/>
      <c r="Z25" s="133"/>
      <c r="AA25" s="133"/>
      <c r="AB25" s="133"/>
      <c r="AC25" s="133"/>
      <c r="AD25" s="133"/>
      <c r="AE25" s="133"/>
      <c r="AF25" s="133"/>
      <c r="AG25" s="205"/>
      <c r="AH25" s="134"/>
    </row>
    <row r="26" spans="1:39" ht="18.75" hidden="1" customHeight="1">
      <c r="A26" s="416"/>
      <c r="B26" s="127">
        <f>B25+1</f>
        <v>20</v>
      </c>
      <c r="C26" s="4"/>
      <c r="D26" s="4"/>
      <c r="E26" s="4"/>
      <c r="F26" s="4"/>
      <c r="G26" s="4"/>
      <c r="H26" s="135"/>
      <c r="I26" s="136"/>
      <c r="J26" s="129"/>
      <c r="K26" s="129"/>
      <c r="L26" s="129"/>
      <c r="M26" s="129"/>
      <c r="N26" s="137"/>
      <c r="O26" s="129"/>
      <c r="P26" s="129"/>
      <c r="Q26" s="129"/>
      <c r="R26" s="136"/>
      <c r="S26" s="171">
        <f t="shared" si="11"/>
        <v>0</v>
      </c>
      <c r="T26" s="170">
        <f t="shared" si="12"/>
        <v>-3</v>
      </c>
      <c r="U26" s="132"/>
      <c r="V26" s="132"/>
      <c r="W26" s="132"/>
      <c r="X26" s="132"/>
      <c r="Y26" s="138"/>
      <c r="Z26" s="133"/>
      <c r="AA26" s="133"/>
      <c r="AB26" s="133"/>
      <c r="AC26" s="133"/>
      <c r="AD26" s="133"/>
      <c r="AE26" s="133"/>
      <c r="AF26" s="133"/>
      <c r="AG26" s="205"/>
      <c r="AH26" s="134"/>
    </row>
    <row r="27" spans="1:39" ht="19.5" hidden="1" customHeight="1" thickBot="1">
      <c r="A27" s="416"/>
      <c r="B27" s="139">
        <f>B26+1</f>
        <v>21</v>
      </c>
      <c r="C27" s="140"/>
      <c r="D27" s="140"/>
      <c r="E27" s="140"/>
      <c r="F27" s="140"/>
      <c r="G27" s="140"/>
      <c r="H27" s="141"/>
      <c r="I27" s="142"/>
      <c r="J27" s="143"/>
      <c r="K27" s="129"/>
      <c r="L27" s="129"/>
      <c r="M27" s="129"/>
      <c r="N27" s="144"/>
      <c r="O27" s="129"/>
      <c r="P27" s="129"/>
      <c r="Q27" s="129"/>
      <c r="R27" s="142"/>
      <c r="S27" s="171">
        <f t="shared" si="11"/>
        <v>0</v>
      </c>
      <c r="T27" s="170">
        <f t="shared" si="12"/>
        <v>-3</v>
      </c>
      <c r="U27" s="132"/>
      <c r="V27" s="132"/>
      <c r="W27" s="132"/>
      <c r="X27" s="174"/>
      <c r="Y27" s="145"/>
      <c r="Z27" s="133"/>
      <c r="AA27" s="146"/>
      <c r="AB27" s="333"/>
      <c r="AC27" s="333"/>
      <c r="AD27" s="133"/>
      <c r="AE27" s="146"/>
      <c r="AF27" s="133"/>
      <c r="AG27" s="205"/>
      <c r="AH27" s="134"/>
    </row>
    <row r="28" spans="1:39" ht="18.75">
      <c r="A28" s="416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</row>
    <row r="29" spans="1:39" ht="28.5">
      <c r="A29" s="416"/>
      <c r="B29" s="442"/>
      <c r="C29" s="442"/>
      <c r="D29" s="442"/>
      <c r="E29" s="442"/>
      <c r="F29" s="442"/>
      <c r="G29" s="442"/>
      <c r="H29" s="442"/>
      <c r="I29" s="442"/>
      <c r="J29" s="442"/>
      <c r="K29" s="442"/>
      <c r="L29" s="442"/>
      <c r="M29" s="442"/>
      <c r="N29" s="442"/>
      <c r="O29" s="442"/>
      <c r="P29" s="442"/>
      <c r="Q29" s="442"/>
      <c r="R29" s="443"/>
      <c r="S29" s="443"/>
      <c r="T29" s="443"/>
      <c r="U29" s="443"/>
      <c r="V29" s="209"/>
      <c r="W29" s="444"/>
      <c r="X29" s="444"/>
      <c r="Y29" s="444"/>
      <c r="Z29" s="210"/>
      <c r="AA29" s="149"/>
      <c r="AB29" s="149"/>
      <c r="AC29" s="149"/>
      <c r="AD29" s="149"/>
      <c r="AE29" s="210"/>
    </row>
    <row r="30" spans="1:39" ht="26.25">
      <c r="A30" s="416"/>
      <c r="B30" s="488" t="s">
        <v>208</v>
      </c>
      <c r="C30" s="488"/>
      <c r="D30" s="488"/>
      <c r="E30" s="488"/>
      <c r="F30" s="488"/>
      <c r="G30" s="488"/>
      <c r="H30" s="488"/>
      <c r="I30" s="488"/>
      <c r="J30" s="488"/>
      <c r="K30" s="488"/>
      <c r="L30" s="488"/>
      <c r="M30" s="488"/>
      <c r="N30" s="488"/>
      <c r="O30" s="488"/>
      <c r="P30" s="488"/>
      <c r="Q30" s="488"/>
      <c r="R30" s="443"/>
      <c r="S30" s="443"/>
      <c r="T30" s="443"/>
      <c r="U30" s="443"/>
      <c r="V30" s="209"/>
      <c r="W30" s="444"/>
      <c r="X30" s="444"/>
      <c r="Y30" s="444"/>
      <c r="Z30" s="210"/>
      <c r="AA30" s="149"/>
      <c r="AB30" s="149"/>
      <c r="AC30" s="149"/>
      <c r="AD30" s="149"/>
      <c r="AE30" s="210"/>
    </row>
    <row r="31" spans="1:39">
      <c r="A31" s="41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Q31" s="11"/>
      <c r="R31" s="11"/>
      <c r="S31" s="210"/>
      <c r="T31" s="210"/>
      <c r="U31" s="210"/>
      <c r="V31" s="210"/>
      <c r="W31" s="210"/>
      <c r="X31" s="210"/>
      <c r="Z31" s="210"/>
      <c r="AA31" s="149"/>
      <c r="AB31" s="149"/>
      <c r="AC31" s="149"/>
      <c r="AD31" s="149"/>
      <c r="AE31" s="210"/>
    </row>
    <row r="32" spans="1:39" ht="21">
      <c r="A32" s="416"/>
      <c r="B32" s="11"/>
      <c r="C32" s="11"/>
      <c r="D32" s="11"/>
      <c r="E32" s="11"/>
      <c r="F32" s="11"/>
      <c r="G32" s="11"/>
      <c r="H32" s="216"/>
      <c r="I32" s="217"/>
      <c r="J32" s="217"/>
      <c r="K32" s="11"/>
      <c r="L32" s="11"/>
      <c r="M32" s="11"/>
      <c r="N32" s="11"/>
      <c r="O32" s="11"/>
      <c r="R32" s="210"/>
      <c r="S32" s="444"/>
      <c r="T32" s="444"/>
      <c r="U32" s="444"/>
      <c r="V32" s="444"/>
      <c r="W32" s="444"/>
      <c r="X32" s="444"/>
      <c r="Y32" s="444"/>
      <c r="Z32" s="210"/>
      <c r="AA32" s="149"/>
      <c r="AB32" s="149"/>
      <c r="AC32" s="149"/>
      <c r="AD32" s="149"/>
      <c r="AE32" s="210"/>
    </row>
    <row r="33" spans="1:32" ht="26.25">
      <c r="A33" s="416"/>
      <c r="B33" s="153" t="s">
        <v>209</v>
      </c>
      <c r="C33" s="11"/>
      <c r="D33" s="11"/>
      <c r="E33" s="11"/>
      <c r="F33" s="11"/>
      <c r="G33" s="11"/>
      <c r="K33" s="11"/>
      <c r="L33" s="11"/>
      <c r="M33" s="153" t="s">
        <v>210</v>
      </c>
      <c r="N33" s="11"/>
      <c r="O33" s="11"/>
      <c r="R33" s="210"/>
      <c r="S33" s="11"/>
      <c r="T33" s="11"/>
      <c r="U33" s="11"/>
      <c r="V33" s="11"/>
      <c r="W33" s="11"/>
      <c r="X33" s="11"/>
      <c r="Y33" s="11"/>
      <c r="Z33" s="210"/>
      <c r="AA33" s="149"/>
      <c r="AB33" s="149"/>
      <c r="AC33" s="149"/>
      <c r="AD33" s="149"/>
      <c r="AE33" s="210"/>
    </row>
    <row r="34" spans="1:32" ht="22.5">
      <c r="A34" s="416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86"/>
      <c r="Q34" s="154"/>
      <c r="R34" s="186"/>
      <c r="S34" s="154"/>
      <c r="T34" s="154"/>
      <c r="U34" s="154"/>
      <c r="V34" s="154"/>
      <c r="W34" s="154"/>
      <c r="X34" s="154"/>
      <c r="Y34" s="155"/>
      <c r="Z34" s="210"/>
      <c r="AA34" s="149"/>
      <c r="AB34" s="149"/>
      <c r="AC34" s="149"/>
      <c r="AD34" s="149"/>
      <c r="AE34" s="210"/>
    </row>
    <row r="35" spans="1:32" ht="22.5">
      <c r="A35" s="416"/>
      <c r="C35" s="154"/>
      <c r="D35" s="154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4"/>
      <c r="Z35" s="210"/>
      <c r="AA35" s="149"/>
      <c r="AB35" s="149"/>
      <c r="AC35" s="149"/>
      <c r="AD35" s="149"/>
      <c r="AE35" s="210"/>
    </row>
    <row r="36" spans="1:32" ht="26.25">
      <c r="B36" s="153" t="s">
        <v>211</v>
      </c>
      <c r="C36" s="154"/>
      <c r="D36" s="154"/>
      <c r="E36" s="155"/>
      <c r="F36" s="155"/>
      <c r="G36" s="155"/>
      <c r="H36" s="155"/>
      <c r="I36" s="155"/>
      <c r="J36" s="155"/>
      <c r="K36" s="155"/>
      <c r="L36" s="155"/>
      <c r="M36" s="153" t="s">
        <v>210</v>
      </c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4"/>
      <c r="Z36" s="210"/>
      <c r="AA36" s="149"/>
      <c r="AB36" s="149"/>
      <c r="AC36" s="149"/>
      <c r="AD36" s="149"/>
      <c r="AE36" s="210"/>
    </row>
    <row r="37" spans="1:32" ht="22.5">
      <c r="B37" s="11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210"/>
      <c r="AA37" s="149"/>
      <c r="AB37" s="149"/>
      <c r="AC37" s="149"/>
      <c r="AD37" s="149"/>
      <c r="AE37" s="210"/>
    </row>
    <row r="38" spans="1:32" ht="22.5">
      <c r="B38" s="11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87"/>
      <c r="N38" s="154"/>
      <c r="O38" s="154"/>
      <c r="P38" s="154"/>
      <c r="Q38" s="154"/>
      <c r="S38" s="154"/>
      <c r="T38" s="154"/>
      <c r="U38" s="154"/>
      <c r="V38" s="154"/>
      <c r="W38" s="154"/>
      <c r="X38" s="154"/>
      <c r="Y38" s="154"/>
      <c r="Z38" s="11"/>
      <c r="AA38" s="11"/>
      <c r="AB38" s="11"/>
      <c r="AC38" s="11"/>
      <c r="AD38" s="11"/>
      <c r="AE38" s="11"/>
      <c r="AF38" s="11"/>
    </row>
    <row r="39" spans="1:32" ht="22.5">
      <c r="B39" s="11"/>
      <c r="C39" s="154"/>
      <c r="D39" s="154"/>
      <c r="E39" s="155"/>
      <c r="F39" s="155"/>
      <c r="G39" s="155"/>
      <c r="H39" s="155"/>
      <c r="I39" s="155"/>
      <c r="J39" s="155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1"/>
      <c r="AA39" s="11"/>
      <c r="AB39" s="11"/>
      <c r="AC39" s="11"/>
      <c r="AD39" s="11"/>
      <c r="AE39" s="11"/>
      <c r="AF39" s="11"/>
    </row>
    <row r="40" spans="1:32" ht="36">
      <c r="A40" s="151"/>
      <c r="B40" s="11"/>
      <c r="C40" s="11"/>
      <c r="E40" s="11"/>
      <c r="F40" s="11"/>
      <c r="G40" s="11"/>
      <c r="H40" s="152"/>
      <c r="I40" s="152"/>
      <c r="J40" s="152"/>
      <c r="K40" s="152"/>
      <c r="L40" s="152"/>
      <c r="M40" s="152"/>
      <c r="N40" s="11"/>
      <c r="O40" s="153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2" ht="22.5">
      <c r="A41" s="154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4"/>
      <c r="V41" s="154"/>
    </row>
    <row r="42" spans="1:32" ht="22.5">
      <c r="A42" s="154"/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4"/>
      <c r="V42" s="154"/>
    </row>
    <row r="43" spans="1:32" ht="22.5">
      <c r="A43" s="154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</row>
    <row r="44" spans="1:32" ht="22.5">
      <c r="A44" s="154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6"/>
      <c r="P44" s="154"/>
      <c r="Q44" s="154"/>
      <c r="R44" s="154"/>
      <c r="S44" s="154"/>
      <c r="T44" s="154"/>
      <c r="U44" s="154"/>
      <c r="V44" s="154"/>
    </row>
  </sheetData>
  <mergeCells count="26">
    <mergeCell ref="A17:A35"/>
    <mergeCell ref="B29:Q29"/>
    <mergeCell ref="B30:Q30"/>
    <mergeCell ref="S32:Y32"/>
    <mergeCell ref="R30:S30"/>
    <mergeCell ref="T30:U30"/>
    <mergeCell ref="T29:U29"/>
    <mergeCell ref="W29:Y29"/>
    <mergeCell ref="W30:Y30"/>
    <mergeCell ref="R29:S29"/>
    <mergeCell ref="L5:L6"/>
    <mergeCell ref="AM5:AM8"/>
    <mergeCell ref="AM9:AM21"/>
    <mergeCell ref="BG5:BI5"/>
    <mergeCell ref="BJ5:BN5"/>
    <mergeCell ref="R5:S5"/>
    <mergeCell ref="T5:U5"/>
    <mergeCell ref="W5:Y5"/>
    <mergeCell ref="Z5:AA5"/>
    <mergeCell ref="AD5:AF5"/>
    <mergeCell ref="AG5:AK5"/>
    <mergeCell ref="AX5:AY5"/>
    <mergeCell ref="AZ5:BA5"/>
    <mergeCell ref="BB5:BD5"/>
    <mergeCell ref="BE5:BF5"/>
    <mergeCell ref="AB5:AC5"/>
  </mergeCells>
  <printOptions horizontalCentered="1"/>
  <pageMargins left="0" right="0" top="0" bottom="0" header="0" footer="0"/>
  <pageSetup paperSize="9" scale="3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C4" sqref="C4"/>
    </sheetView>
  </sheetViews>
  <sheetFormatPr defaultRowHeight="15"/>
  <sheetData>
    <row r="1" spans="1:13">
      <c r="A1" s="189"/>
      <c r="B1" s="489" t="s">
        <v>186</v>
      </c>
      <c r="C1" s="490"/>
      <c r="D1" s="490"/>
      <c r="E1" s="490"/>
      <c r="F1" s="490"/>
      <c r="G1" s="491"/>
      <c r="H1" s="492" t="s">
        <v>187</v>
      </c>
      <c r="I1" s="490"/>
      <c r="J1" s="490"/>
      <c r="K1" s="490"/>
      <c r="L1" s="490"/>
      <c r="M1" s="491"/>
    </row>
    <row r="2" spans="1:13">
      <c r="A2" s="190"/>
      <c r="B2" s="493" t="s">
        <v>188</v>
      </c>
      <c r="C2" s="380"/>
      <c r="D2" s="380"/>
      <c r="E2" s="380"/>
      <c r="F2" s="380"/>
      <c r="G2" s="494"/>
      <c r="H2" s="495" t="s">
        <v>188</v>
      </c>
      <c r="I2" s="380"/>
      <c r="J2" s="380"/>
      <c r="K2" s="380"/>
      <c r="L2" s="380"/>
      <c r="M2" s="494"/>
    </row>
    <row r="3" spans="1:13">
      <c r="A3" s="190" t="s">
        <v>189</v>
      </c>
      <c r="B3" s="127">
        <v>1</v>
      </c>
      <c r="C3" s="4">
        <v>2</v>
      </c>
      <c r="D3" s="4">
        <v>3</v>
      </c>
      <c r="E3" s="4">
        <v>4</v>
      </c>
      <c r="F3" s="4">
        <v>5</v>
      </c>
      <c r="G3" s="180">
        <v>6</v>
      </c>
      <c r="H3" s="191">
        <v>1</v>
      </c>
      <c r="I3" s="4">
        <v>2</v>
      </c>
      <c r="J3" s="4">
        <v>3</v>
      </c>
      <c r="K3" s="4">
        <v>4</v>
      </c>
      <c r="L3" s="4">
        <v>5</v>
      </c>
      <c r="M3" s="180">
        <v>6</v>
      </c>
    </row>
    <row r="4" spans="1:13">
      <c r="A4" s="190" t="s">
        <v>190</v>
      </c>
      <c r="B4" s="127">
        <v>6.0000000000000001E-3</v>
      </c>
      <c r="C4" s="4">
        <v>8.0000000000000002E-3</v>
      </c>
      <c r="D4" s="4">
        <v>1.2999999999999999E-2</v>
      </c>
      <c r="E4" s="4">
        <v>1.7000000000000001E-2</v>
      </c>
      <c r="F4" s="4">
        <v>2.1000000000000001E-2</v>
      </c>
      <c r="G4" s="180">
        <v>2.5000000000000001E-2</v>
      </c>
      <c r="H4" s="191">
        <v>8.0000000000000002E-3</v>
      </c>
      <c r="I4" s="4">
        <v>1.4E-2</v>
      </c>
      <c r="J4" s="4">
        <v>2.1000000000000001E-2</v>
      </c>
      <c r="K4" s="4">
        <v>2.7E-2</v>
      </c>
      <c r="L4" s="4">
        <v>3.3000000000000002E-2</v>
      </c>
      <c r="M4" s="180">
        <v>0.04</v>
      </c>
    </row>
    <row r="5" spans="1:13">
      <c r="A5" s="190" t="s">
        <v>191</v>
      </c>
      <c r="B5" s="127">
        <v>6.0000000000000001E-3</v>
      </c>
      <c r="C5" s="4">
        <v>1.2E-2</v>
      </c>
      <c r="D5" s="4">
        <v>1.7999999999999999E-2</v>
      </c>
      <c r="E5" s="4">
        <v>2.4E-2</v>
      </c>
      <c r="F5" s="4">
        <v>2.8000000000000001E-2</v>
      </c>
      <c r="G5" s="180">
        <v>3.5000000000000003E-2</v>
      </c>
      <c r="H5" s="191">
        <v>0.01</v>
      </c>
      <c r="I5" s="4">
        <v>1.7999999999999999E-2</v>
      </c>
      <c r="J5" s="4">
        <v>2.5999999999999999E-2</v>
      </c>
      <c r="K5" s="4">
        <v>3.4000000000000002E-2</v>
      </c>
      <c r="L5" s="4">
        <v>4.2000000000000003E-2</v>
      </c>
      <c r="M5" s="180">
        <v>0.05</v>
      </c>
    </row>
    <row r="6" spans="1:13" ht="15.75" thickBot="1">
      <c r="A6" s="192" t="s">
        <v>192</v>
      </c>
      <c r="B6" s="139">
        <v>8.0000000000000002E-3</v>
      </c>
      <c r="C6" s="140">
        <v>1.4999999999999999E-2</v>
      </c>
      <c r="D6" s="140">
        <v>2.3E-2</v>
      </c>
      <c r="E6" s="140">
        <v>3.2000000000000001E-2</v>
      </c>
      <c r="F6" s="140">
        <v>3.6999999999999998E-2</v>
      </c>
      <c r="G6" s="181">
        <v>4.5999999999999999E-2</v>
      </c>
      <c r="H6" s="193">
        <v>1.4E-2</v>
      </c>
      <c r="I6" s="140">
        <v>2.5000000000000001E-2</v>
      </c>
      <c r="J6" s="140">
        <v>3.6999999999999998E-2</v>
      </c>
      <c r="K6" s="140">
        <v>4.9000000000000002E-2</v>
      </c>
      <c r="L6" s="140">
        <v>0.06</v>
      </c>
      <c r="M6" s="181">
        <v>7.1999999999999995E-2</v>
      </c>
    </row>
  </sheetData>
  <mergeCells count="4">
    <mergeCell ref="B1:G1"/>
    <mergeCell ref="H1:M1"/>
    <mergeCell ref="B2:G2"/>
    <mergeCell ref="H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1:W47"/>
  <sheetViews>
    <sheetView topLeftCell="A19" workbookViewId="0">
      <selection activeCell="A11" sqref="A11:M47"/>
    </sheetView>
  </sheetViews>
  <sheetFormatPr defaultRowHeight="15"/>
  <cols>
    <col min="2" max="2" width="12" customWidth="1"/>
    <col min="3" max="3" width="9" customWidth="1"/>
    <col min="4" max="4" width="11" customWidth="1"/>
    <col min="5" max="5" width="10.85546875" customWidth="1"/>
    <col min="6" max="6" width="13.85546875" customWidth="1"/>
    <col min="7" max="8" width="12.5703125" customWidth="1"/>
    <col min="9" max="9" width="21.28515625" customWidth="1"/>
    <col min="10" max="10" width="14.5703125" customWidth="1"/>
    <col min="11" max="11" width="12.85546875" customWidth="1"/>
    <col min="12" max="13" width="13" customWidth="1"/>
    <col min="14" max="14" width="13.140625" customWidth="1"/>
    <col min="15" max="15" width="8" customWidth="1"/>
    <col min="16" max="16" width="7.28515625" customWidth="1"/>
    <col min="17" max="17" width="8" customWidth="1"/>
    <col min="18" max="18" width="3.85546875" customWidth="1"/>
    <col min="19" max="20" width="4.85546875" customWidth="1"/>
  </cols>
  <sheetData>
    <row r="11" spans="1:23" ht="18.75">
      <c r="B11" s="22" t="s">
        <v>60</v>
      </c>
      <c r="C11" s="22"/>
      <c r="E11" s="33">
        <f>'Исходные данные'!H13</f>
        <v>2222</v>
      </c>
      <c r="F11" s="33"/>
      <c r="G11" s="33"/>
      <c r="H11" s="33"/>
      <c r="I11" s="22"/>
      <c r="K11" s="22"/>
      <c r="L11" s="22"/>
      <c r="M11" s="22"/>
      <c r="N11" s="22"/>
      <c r="O11" s="22"/>
    </row>
    <row r="13" spans="1:23" ht="23.25">
      <c r="B13" s="22"/>
      <c r="C13" s="22"/>
      <c r="D13" s="20" t="s">
        <v>59</v>
      </c>
      <c r="E13" s="20" t="s">
        <v>27</v>
      </c>
      <c r="F13" s="20"/>
      <c r="G13" s="20"/>
      <c r="H13" s="20"/>
      <c r="I13" s="23"/>
      <c r="K13" s="88"/>
      <c r="L13" s="88"/>
      <c r="M13" s="88"/>
      <c r="N13" s="23"/>
      <c r="O13" s="23"/>
      <c r="P13" s="23"/>
      <c r="Q13" s="23"/>
      <c r="R13" s="23"/>
      <c r="S13" s="23"/>
    </row>
    <row r="14" spans="1:23" ht="18.75">
      <c r="B14" s="22"/>
      <c r="C14" s="22"/>
      <c r="D14" s="22"/>
      <c r="E14" s="22"/>
      <c r="F14" s="22"/>
      <c r="G14" s="22"/>
      <c r="H14" s="22"/>
      <c r="I14" s="23"/>
      <c r="J14" s="88"/>
      <c r="K14" s="88"/>
      <c r="L14" s="88"/>
      <c r="M14" s="88"/>
      <c r="N14" s="23"/>
      <c r="O14" s="23"/>
      <c r="P14" s="23"/>
      <c r="Q14" s="23"/>
      <c r="R14" s="23"/>
      <c r="S14" s="23"/>
    </row>
    <row r="15" spans="1:23" ht="39.75" customHeight="1">
      <c r="A15" s="359" t="s">
        <v>8</v>
      </c>
      <c r="B15" s="51" t="s">
        <v>69</v>
      </c>
      <c r="C15" s="360" t="s">
        <v>85</v>
      </c>
      <c r="D15" s="51" t="s">
        <v>70</v>
      </c>
      <c r="E15" s="362" t="s">
        <v>84</v>
      </c>
      <c r="F15" s="364" t="s">
        <v>239</v>
      </c>
      <c r="G15" s="365"/>
      <c r="H15" s="366" t="s">
        <v>242</v>
      </c>
      <c r="I15" s="357" t="s">
        <v>79</v>
      </c>
      <c r="J15" s="357" t="s">
        <v>125</v>
      </c>
      <c r="K15" s="357" t="s">
        <v>126</v>
      </c>
      <c r="L15" s="357" t="s">
        <v>127</v>
      </c>
      <c r="M15" s="357" t="s">
        <v>126</v>
      </c>
    </row>
    <row r="16" spans="1:23" ht="55.5" customHeight="1">
      <c r="A16" s="359"/>
      <c r="B16" s="52" t="s">
        <v>28</v>
      </c>
      <c r="C16" s="361"/>
      <c r="D16" s="52" t="s">
        <v>58</v>
      </c>
      <c r="E16" s="363"/>
      <c r="F16" s="280" t="s">
        <v>240</v>
      </c>
      <c r="G16" s="280" t="s">
        <v>241</v>
      </c>
      <c r="H16" s="367"/>
      <c r="I16" s="358"/>
      <c r="J16" s="358"/>
      <c r="K16" s="358"/>
      <c r="L16" s="358"/>
      <c r="M16" s="358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15" ht="18.75">
      <c r="A17" s="57">
        <f>'Исходные данные'!B17</f>
        <v>0</v>
      </c>
      <c r="B17" s="56">
        <f>'Исходные данные'!G17</f>
        <v>0</v>
      </c>
      <c r="C17" s="56">
        <f>'Исходные данные'!S17</f>
        <v>0</v>
      </c>
      <c r="D17" s="56">
        <f>'Исходные данные'!H17</f>
        <v>0</v>
      </c>
      <c r="E17" s="56">
        <f>'Исходные данные'!S17</f>
        <v>0</v>
      </c>
      <c r="F17" s="100">
        <f>IF('Исходные данные'!G17&gt;1500,2,1)</f>
        <v>1</v>
      </c>
      <c r="G17" s="100">
        <f>IF('Исходные данные'!H17&gt;1300,2,1)</f>
        <v>1</v>
      </c>
      <c r="H17" s="100">
        <f>(F17*G17)*'Исходные данные'!S17</f>
        <v>0</v>
      </c>
      <c r="I17" s="4" t="str">
        <f>CONCATENATE('Исходные данные'!C17,'Исходные данные'!D17,'Исходные данные'!E17,'Исходные данные'!F17,'Исходные данные'!I17,'Исходные данные'!J17,'Исходные данные'!K17,'Исходные данные'!M17,'Исходные данные'!N17,'Исходные данные'!Q17,'Исходные данные'!P17,'Исходные данные'!Q17,'Исходные данные'!R17)</f>
        <v/>
      </c>
      <c r="J17" s="4"/>
      <c r="K17" s="4"/>
      <c r="L17" s="4"/>
      <c r="M17" s="4"/>
      <c r="N17">
        <f>IF(AND('Исходные данные'!F17=3,'Исходные данные'!J17=1),0.206*'Исходные данные'!S17,IF(AND('Исходные данные'!F17=3,'Исходные данные'!J17=2),0.219*'Исходные данные'!S17,IF(AND('Исходные данные'!F17=1,'Исходные данные'!J17=2),0.275*'Исходные данные'!S17,IF(AND('Исходные данные'!F17=1,'Исходные данные'!J17=1),0.276*'Исходные данные'!S17,0))))</f>
        <v>0</v>
      </c>
    </row>
    <row r="18" spans="1:15" ht="18.75">
      <c r="A18" s="57">
        <f>'Исходные данные'!B18</f>
        <v>0</v>
      </c>
      <c r="B18" s="56">
        <f>'Исходные данные'!G18</f>
        <v>0</v>
      </c>
      <c r="C18" s="56">
        <f>'Исходные данные'!S18</f>
        <v>0</v>
      </c>
      <c r="D18" s="56">
        <f>'Исходные данные'!H18</f>
        <v>0</v>
      </c>
      <c r="E18" s="56">
        <f>'Исходные данные'!S18</f>
        <v>0</v>
      </c>
      <c r="F18" s="100">
        <f>IF('Исходные данные'!G18&gt;1500,2,1)</f>
        <v>1</v>
      </c>
      <c r="G18" s="100">
        <f>IF('Исходные данные'!H18&gt;1300,2,1)</f>
        <v>1</v>
      </c>
      <c r="H18" s="100">
        <f>(F18*G18)*'Исходные данные'!S18</f>
        <v>0</v>
      </c>
      <c r="I18" s="4" t="str">
        <f>CONCATENATE('Исходные данные'!C18,'Исходные данные'!D18,'Исходные данные'!E18,'Исходные данные'!F18,'Исходные данные'!I18,'Исходные данные'!J18,'Исходные данные'!K18,'Исходные данные'!M18,'Исходные данные'!N18,'Исходные данные'!Q18,'Исходные данные'!P18,'Исходные данные'!Q18,'Исходные данные'!R18)</f>
        <v/>
      </c>
      <c r="J18" s="4"/>
      <c r="K18" s="4"/>
      <c r="L18" s="4"/>
      <c r="M18" s="4"/>
      <c r="N18">
        <f>IF(AND('Исходные данные'!F18=3,'Исходные данные'!J18=1),0.206*'Исходные данные'!S18,IF(AND('Исходные данные'!F18=3,'Исходные данные'!J18=2),0.219*'Исходные данные'!S18,IF(AND('Исходные данные'!F18=1,'Исходные данные'!J18=2),0.275*'Исходные данные'!S18,IF(AND('Исходные данные'!F18=1,'Исходные данные'!J18=1),0.276*'Исходные данные'!S18,0))))</f>
        <v>0</v>
      </c>
    </row>
    <row r="19" spans="1:15" ht="18.75">
      <c r="A19" s="112">
        <f>'Исходные данные'!B19</f>
        <v>0</v>
      </c>
      <c r="B19" s="56">
        <f>'Исходные данные'!G19</f>
        <v>0</v>
      </c>
      <c r="C19" s="56">
        <f>'Исходные данные'!S19</f>
        <v>0</v>
      </c>
      <c r="D19" s="56">
        <f>'Исходные данные'!H19</f>
        <v>0</v>
      </c>
      <c r="E19" s="56">
        <f>'Исходные данные'!S19</f>
        <v>0</v>
      </c>
      <c r="F19" s="100">
        <f>IF('Исходные данные'!G19&gt;1500,2,1)</f>
        <v>1</v>
      </c>
      <c r="G19" s="100">
        <f>IF('Исходные данные'!H19&gt;1300,2,1)</f>
        <v>1</v>
      </c>
      <c r="H19" s="100">
        <f>(F19*G19)*'Исходные данные'!S19</f>
        <v>0</v>
      </c>
      <c r="I19" s="4" t="str">
        <f>CONCATENATE('Исходные данные'!C19,'Исходные данные'!D19,'Исходные данные'!E19,'Исходные данные'!F19,'Исходные данные'!I19,'Исходные данные'!J19,'Исходные данные'!K19,'Исходные данные'!M19,'Исходные данные'!N19,'Исходные данные'!Q19,'Исходные данные'!P19,'Исходные данные'!Q19,'Исходные данные'!R19)</f>
        <v/>
      </c>
      <c r="J19" s="4"/>
      <c r="K19" s="106"/>
      <c r="L19" s="4"/>
      <c r="M19" s="4"/>
      <c r="N19">
        <f>IF(AND('Исходные данные'!F19=3,'Исходные данные'!J19=1),0.206*'Исходные данные'!S19,IF(AND('Исходные данные'!F19=3,'Исходные данные'!J19=2),0.219*'Исходные данные'!S19,IF(AND('Исходные данные'!F19=1,'Исходные данные'!J19=2),0.275*'Исходные данные'!S19,IF(AND('Исходные данные'!F19=1,'Исходные данные'!J19=1),0.276*'Исходные данные'!S19,0))))</f>
        <v>0</v>
      </c>
    </row>
    <row r="20" spans="1:15" ht="18.75">
      <c r="A20" s="113">
        <f>'Исходные данные'!B20</f>
        <v>0</v>
      </c>
      <c r="B20" s="56">
        <f>'Исходные данные'!G20</f>
        <v>0</v>
      </c>
      <c r="C20" s="56">
        <f>'Исходные данные'!S20</f>
        <v>0</v>
      </c>
      <c r="D20" s="56">
        <f>'Исходные данные'!H20</f>
        <v>0</v>
      </c>
      <c r="E20" s="56">
        <f>'Исходные данные'!S20</f>
        <v>0</v>
      </c>
      <c r="F20" s="100">
        <f>IF('Исходные данные'!G20&gt;1500,2,1)</f>
        <v>1</v>
      </c>
      <c r="G20" s="100">
        <f>IF('Исходные данные'!H20&gt;1300,2,1)</f>
        <v>1</v>
      </c>
      <c r="H20" s="100">
        <f>(F20*G20)*'Исходные данные'!S20</f>
        <v>0</v>
      </c>
      <c r="I20" s="4" t="str">
        <f>CONCATENATE('Исходные данные'!C20,'Исходные данные'!D20,'Исходные данные'!E20,'Исходные данные'!F20,'Исходные данные'!I20,'Исходные данные'!J20,'Исходные данные'!K20,'Исходные данные'!M20,'Исходные данные'!N20,'Исходные данные'!Q20,'Исходные данные'!P20,'Исходные данные'!Q20,'Исходные данные'!R20)</f>
        <v/>
      </c>
      <c r="J20" s="4"/>
      <c r="K20" s="106"/>
      <c r="L20" s="4"/>
      <c r="M20" s="4"/>
      <c r="N20">
        <f>IF(AND('Исходные данные'!F20=3,'Исходные данные'!J20=1),0.206*'Исходные данные'!S20,IF(AND('Исходные данные'!F20=3,'Исходные данные'!J20=2),0.219*'Исходные данные'!S20,IF(AND('Исходные данные'!F20=1,'Исходные данные'!J20=2),0.275*'Исходные данные'!S20,IF(AND('Исходные данные'!F20=1,'Исходные данные'!J20=1),0.276*'Исходные данные'!S20,0))))</f>
        <v>0</v>
      </c>
    </row>
    <row r="21" spans="1:15">
      <c r="A21" s="107">
        <f>'Исходные данные'!B21</f>
        <v>0</v>
      </c>
      <c r="B21" s="62">
        <f>'Исходные данные'!G21</f>
        <v>0</v>
      </c>
      <c r="C21" s="64">
        <f>'Исходные данные'!S21</f>
        <v>0</v>
      </c>
      <c r="D21" s="62">
        <f>'Исходные данные'!H21</f>
        <v>0</v>
      </c>
      <c r="E21" s="64">
        <f>'Исходные данные'!S21</f>
        <v>0</v>
      </c>
      <c r="F21" s="100">
        <f>IF('Исходные данные'!G21&gt;1500,2,1)</f>
        <v>1</v>
      </c>
      <c r="G21" s="100">
        <f>IF('Исходные данные'!H21&gt;1300,2,1)</f>
        <v>1</v>
      </c>
      <c r="H21" s="100">
        <f>(F21*G21)*'Исходные данные'!S21</f>
        <v>0</v>
      </c>
      <c r="I21" s="4" t="str">
        <f>CONCATENATE('Исходные данные'!C21,'Исходные данные'!D21,'Исходные данные'!E21,'Исходные данные'!F21,'Исходные данные'!I21,'Исходные данные'!J21,'Исходные данные'!K21,'Исходные данные'!M21,'Исходные данные'!N21,'Исходные данные'!Q21,'Исходные данные'!P21,'Исходные данные'!Q21,'Исходные данные'!R21)</f>
        <v/>
      </c>
      <c r="J21" s="4"/>
      <c r="K21" s="106"/>
      <c r="L21" s="4"/>
      <c r="M21" s="4"/>
      <c r="N21">
        <f>IF(AND('Исходные данные'!F21=3,'Исходные данные'!J21=1),0.206*'Исходные данные'!S21,IF(AND('Исходные данные'!F21=3,'Исходные данные'!J21=2),0.219*'Исходные данные'!S21,IF(AND('Исходные данные'!F21=1,'Исходные данные'!J21=2),0.275*'Исходные данные'!S21,IF(AND('Исходные данные'!F21=1,'Исходные данные'!J21=1),0.276*'Исходные данные'!S21,0))))</f>
        <v>0</v>
      </c>
      <c r="O21" t="str">
        <f>CONCATENATE('Исходные данные'!C21,'Исходные данные'!D21,'Исходные данные'!E21,'Исходные данные'!F21,'Исходные данные'!I21)</f>
        <v/>
      </c>
    </row>
    <row r="22" spans="1:15">
      <c r="A22" s="44">
        <f>'Исходные данные'!B22</f>
        <v>0</v>
      </c>
      <c r="B22" s="62">
        <f>'Исходные данные'!G22</f>
        <v>0</v>
      </c>
      <c r="C22" s="64">
        <f>'Исходные данные'!S22</f>
        <v>0</v>
      </c>
      <c r="D22" s="62">
        <f>'Исходные данные'!H22</f>
        <v>0</v>
      </c>
      <c r="E22" s="64">
        <f>'Исходные данные'!S22</f>
        <v>0</v>
      </c>
      <c r="F22" s="100">
        <f>IF('Исходные данные'!G22&gt;1500,2,1)</f>
        <v>1</v>
      </c>
      <c r="G22" s="100">
        <f>IF('Исходные данные'!H22&gt;1300,2,1)</f>
        <v>1</v>
      </c>
      <c r="H22" s="100">
        <f>(F22*G22)*'Исходные данные'!S22</f>
        <v>0</v>
      </c>
      <c r="I22" s="4" t="str">
        <f>CONCATENATE('Исходные данные'!C22,'Исходные данные'!D22,'Исходные данные'!E22,'Исходные данные'!F22,'Исходные данные'!I22,'Исходные данные'!J22,'Исходные данные'!K22,'Исходные данные'!M22,'Исходные данные'!N22,'Исходные данные'!Q22,'Исходные данные'!P22,'Исходные данные'!Q22,'Исходные данные'!R22)</f>
        <v/>
      </c>
      <c r="J22" s="4"/>
      <c r="K22" s="4"/>
      <c r="L22" s="4"/>
      <c r="M22" s="4"/>
      <c r="N22">
        <f>IF(AND('Исходные данные'!F22=3,'Исходные данные'!J22=1),0.206*'Исходные данные'!S22,IF(AND('Исходные данные'!F22=3,'Исходные данные'!J22=2),0.219*'Исходные данные'!S22,IF(AND('Исходные данные'!F22=1,'Исходные данные'!J22=2),0.275*'Исходные данные'!S22,IF(AND('Исходные данные'!F22=1,'Исходные данные'!J22=1),0.276*'Исходные данные'!S22,0))))</f>
        <v>0</v>
      </c>
      <c r="O22" t="str">
        <f>CONCATENATE('Исходные данные'!C22,'Исходные данные'!D22,'Исходные данные'!E22,'Исходные данные'!F22,'Исходные данные'!I22)</f>
        <v/>
      </c>
    </row>
    <row r="23" spans="1:15">
      <c r="A23" s="44">
        <f>'Исходные данные'!B23</f>
        <v>0</v>
      </c>
      <c r="B23" s="62">
        <f>'Исходные данные'!G23</f>
        <v>0</v>
      </c>
      <c r="C23" s="64">
        <f>'Исходные данные'!S23</f>
        <v>0</v>
      </c>
      <c r="D23" s="62">
        <f>'Исходные данные'!H23</f>
        <v>0</v>
      </c>
      <c r="E23" s="64">
        <f>'Исходные данные'!S23</f>
        <v>0</v>
      </c>
      <c r="F23" s="100">
        <f>IF('Исходные данные'!G23&gt;1500,2,1)</f>
        <v>1</v>
      </c>
      <c r="G23" s="100">
        <f>IF('Исходные данные'!H23&gt;1300,2,1)</f>
        <v>1</v>
      </c>
      <c r="H23" s="100">
        <f>(F23*G23)*'Исходные данные'!S23</f>
        <v>0</v>
      </c>
      <c r="I23" s="4" t="str">
        <f>CONCATENATE('Исходные данные'!C23,'Исходные данные'!D23,'Исходные данные'!E23,'Исходные данные'!F23,'Исходные данные'!I23,'Исходные данные'!J23,'Исходные данные'!K23,'Исходные данные'!M23,'Исходные данные'!N23,'Исходные данные'!Q23,'Исходные данные'!P23,'Исходные данные'!Q23,'Исходные данные'!R23)</f>
        <v>----</v>
      </c>
      <c r="J23" s="4"/>
      <c r="K23" s="4"/>
      <c r="L23" s="4"/>
      <c r="M23" s="4"/>
      <c r="N23">
        <f>IF(AND('Исходные данные'!F23=3,'Исходные данные'!J23=1),0.206*'Исходные данные'!S23,IF(AND('Исходные данные'!F23=3,'Исходные данные'!J23=2),0.219*'Исходные данные'!S23,IF(AND('Исходные данные'!F23=1,'Исходные данные'!J23=2),0.275*'Исходные данные'!S23,IF(AND('Исходные данные'!F23=1,'Исходные данные'!J23=1),0.276*'Исходные данные'!S23,0))))</f>
        <v>0</v>
      </c>
      <c r="O23" t="str">
        <f>CONCATENATE('Исходные данные'!C23,'Исходные данные'!D23,'Исходные данные'!E23,'Исходные данные'!F23,'Исходные данные'!I23)</f>
        <v>-</v>
      </c>
    </row>
    <row r="24" spans="1:15">
      <c r="A24" s="44">
        <f>'Исходные данные'!B24</f>
        <v>0</v>
      </c>
      <c r="B24" s="62">
        <f>'Исходные данные'!G24</f>
        <v>0</v>
      </c>
      <c r="C24" s="64">
        <f>'Исходные данные'!S24</f>
        <v>0</v>
      </c>
      <c r="D24" s="62">
        <f>'Исходные данные'!H24</f>
        <v>0</v>
      </c>
      <c r="E24" s="64">
        <f>'Исходные данные'!S24</f>
        <v>0</v>
      </c>
      <c r="F24" s="100">
        <f>IF('Исходные данные'!G24&gt;1500,2,1)</f>
        <v>1</v>
      </c>
      <c r="G24" s="100">
        <f>IF('Исходные данные'!H24&gt;1300,2,1)</f>
        <v>1</v>
      </c>
      <c r="H24" s="100">
        <f>(F24*G24)*'Исходные данные'!S24</f>
        <v>0</v>
      </c>
      <c r="I24" s="4" t="str">
        <f>CONCATENATE('Исходные данные'!C24,'Исходные данные'!D24,'Исходные данные'!E24,'Исходные данные'!F24,'Исходные данные'!I24,'Исходные данные'!J24,'Исходные данные'!K24,'Исходные данные'!M24,'Исходные данные'!N24,'Исходные данные'!Q24,'Исходные данные'!P24,'Исходные данные'!Q24,'Исходные данные'!R24)</f>
        <v>----</v>
      </c>
      <c r="J24" s="4"/>
      <c r="K24" s="4"/>
      <c r="L24" s="4"/>
      <c r="M24" s="4"/>
      <c r="N24">
        <f>IF(AND('Исходные данные'!F24=3,'Исходные данные'!J24=1),0.206*'Исходные данные'!S24,IF(AND('Исходные данные'!F24=3,'Исходные данные'!J24=2),0.219*'Исходные данные'!S24,IF(AND('Исходные данные'!F24=1,'Исходные данные'!J24=2),0.275*'Исходные данные'!S24,IF(AND('Исходные данные'!F24=1,'Исходные данные'!J24=1),0.276*'Исходные данные'!S24,0))))</f>
        <v>0</v>
      </c>
      <c r="O24" t="str">
        <f>CONCATENATE('Исходные данные'!C24,'Исходные данные'!D24,'Исходные данные'!E24,'Исходные данные'!F24,'Исходные данные'!I24)</f>
        <v>-</v>
      </c>
    </row>
    <row r="25" spans="1:15">
      <c r="A25" s="44">
        <f>'Исходные данные'!B25</f>
        <v>0</v>
      </c>
      <c r="B25" s="62">
        <f>'Исходные данные'!G25</f>
        <v>0</v>
      </c>
      <c r="C25" s="64">
        <f>'Исходные данные'!S25</f>
        <v>0</v>
      </c>
      <c r="D25" s="62">
        <f>'Исходные данные'!H25</f>
        <v>0</v>
      </c>
      <c r="E25" s="64">
        <f>'Исходные данные'!S25</f>
        <v>0</v>
      </c>
      <c r="F25" s="100">
        <f>IF('Исходные данные'!G25&gt;1500,2,1)</f>
        <v>1</v>
      </c>
      <c r="G25" s="100">
        <f>IF('Исходные данные'!H25&gt;1300,2,1)</f>
        <v>1</v>
      </c>
      <c r="H25" s="100">
        <f>(F25*G25)*'Исходные данные'!S25</f>
        <v>0</v>
      </c>
      <c r="I25" s="4" t="str">
        <f>CONCATENATE('Исходные данные'!C25,'Исходные данные'!D25,'Исходные данные'!E25,'Исходные данные'!F25,'Исходные данные'!I25,'Исходные данные'!J25,'Исходные данные'!K25,'Исходные данные'!M25,'Исходные данные'!N25,'Исходные данные'!Q25,'Исходные данные'!P25,'Исходные данные'!Q25,'Исходные данные'!R25)</f>
        <v>----</v>
      </c>
      <c r="J25" s="4"/>
      <c r="K25" s="4"/>
      <c r="L25" s="4"/>
      <c r="M25" s="4"/>
      <c r="N25">
        <f>IF(AND('Исходные данные'!F25=3,'Исходные данные'!J25=1),0.206*'Исходные данные'!S25,IF(AND('Исходные данные'!F25=3,'Исходные данные'!J25=2),0.219*'Исходные данные'!S25,IF(AND('Исходные данные'!F25=1,'Исходные данные'!J25=2),0.275*'Исходные данные'!S25,IF(AND('Исходные данные'!F25=1,'Исходные данные'!J25=1),0.276*'Исходные данные'!S25,0))))</f>
        <v>0</v>
      </c>
      <c r="O25" t="str">
        <f>CONCATENATE('Исходные данные'!C25,'Исходные данные'!D25,'Исходные данные'!E25,'Исходные данные'!F25,'Исходные данные'!I25)</f>
        <v>-</v>
      </c>
    </row>
    <row r="26" spans="1:15">
      <c r="A26" s="44">
        <f>'Исходные данные'!B26</f>
        <v>0</v>
      </c>
      <c r="B26" s="62">
        <f>'Исходные данные'!G26</f>
        <v>0</v>
      </c>
      <c r="C26" s="64">
        <f>'Исходные данные'!S26</f>
        <v>0</v>
      </c>
      <c r="D26" s="62">
        <f>'Исходные данные'!H26</f>
        <v>0</v>
      </c>
      <c r="E26" s="64">
        <f>'Исходные данные'!S26</f>
        <v>0</v>
      </c>
      <c r="F26" s="100">
        <f>IF('Исходные данные'!G26&gt;1500,2,1)</f>
        <v>1</v>
      </c>
      <c r="G26" s="100">
        <f>IF('Исходные данные'!H26&gt;1300,2,1)</f>
        <v>1</v>
      </c>
      <c r="H26" s="100">
        <f>(F26*G26)*'Исходные данные'!S26</f>
        <v>0</v>
      </c>
      <c r="I26" s="4" t="str">
        <f>CONCATENATE('Исходные данные'!C26,'Исходные данные'!D26,'Исходные данные'!E26,'Исходные данные'!F26,'Исходные данные'!I26,'Исходные данные'!J26,'Исходные данные'!K26,'Исходные данные'!M26,'Исходные данные'!N26,'Исходные данные'!Q26,'Исходные данные'!P26,'Исходные данные'!Q26,'Исходные данные'!R26)</f>
        <v>----</v>
      </c>
      <c r="J26" s="4"/>
      <c r="K26" s="4"/>
      <c r="L26" s="4"/>
      <c r="M26" s="4"/>
      <c r="N26">
        <f>IF(AND('Исходные данные'!F26=3,'Исходные данные'!J26=1),0.206*'Исходные данные'!S26,IF(AND('Исходные данные'!F26=3,'Исходные данные'!J26=2),0.219*'Исходные данные'!S26,IF(AND('Исходные данные'!F26=1,'Исходные данные'!J26=2),0.275*'Исходные данные'!S26,IF(AND('Исходные данные'!F26=1,'Исходные данные'!J26=1),0.276*'Исходные данные'!S26,0))))</f>
        <v>0</v>
      </c>
      <c r="O26" t="str">
        <f>CONCATENATE('Исходные данные'!C26,'Исходные данные'!D26,'Исходные данные'!E26,'Исходные данные'!F26,'Исходные данные'!I26)</f>
        <v>-</v>
      </c>
    </row>
    <row r="27" spans="1:15">
      <c r="A27" s="44">
        <f>'Исходные данные'!B27</f>
        <v>0</v>
      </c>
      <c r="B27" s="62">
        <f>'Исходные данные'!G27</f>
        <v>0</v>
      </c>
      <c r="C27" s="64">
        <f>'Исходные данные'!S27</f>
        <v>0</v>
      </c>
      <c r="D27" s="62">
        <f>'Исходные данные'!H27</f>
        <v>0</v>
      </c>
      <c r="E27" s="64">
        <f>'Исходные данные'!S27</f>
        <v>0</v>
      </c>
      <c r="F27" s="100">
        <f>IF('Исходные данные'!G27&gt;1500,2,1)</f>
        <v>1</v>
      </c>
      <c r="G27" s="100">
        <f>IF('Исходные данные'!H27&gt;1300,2,1)</f>
        <v>1</v>
      </c>
      <c r="H27" s="100">
        <f>(F27*G27)*'Исходные данные'!S27</f>
        <v>0</v>
      </c>
      <c r="I27" s="4" t="str">
        <f>CONCATENATE('Исходные данные'!C27,'Исходные данные'!D27,'Исходные данные'!E27,'Исходные данные'!F27,'Исходные данные'!I27,'Исходные данные'!J27,'Исходные данные'!K27,'Исходные данные'!M27,'Исходные данные'!N27,'Исходные данные'!Q27,'Исходные данные'!P27,'Исходные данные'!Q27,'Исходные данные'!R27)</f>
        <v>----</v>
      </c>
      <c r="J27" s="4"/>
      <c r="K27" s="4"/>
      <c r="L27" s="4"/>
      <c r="M27" s="4"/>
      <c r="N27">
        <f>IF(AND('Исходные данные'!F27=3,'Исходные данные'!J27=1),0.206*'Исходные данные'!S27,IF(AND('Исходные данные'!F27=3,'Исходные данные'!J27=2),0.219*'Исходные данные'!S27,IF(AND('Исходные данные'!F27=1,'Исходные данные'!J27=2),0.275*'Исходные данные'!S27,IF(AND('Исходные данные'!F27=1,'Исходные данные'!J27=1),0.276*'Исходные данные'!S27,0))))</f>
        <v>0</v>
      </c>
      <c r="O27" t="str">
        <f>CONCATENATE('Исходные данные'!C27,'Исходные данные'!D27,'Исходные данные'!E27,'Исходные данные'!F27,'Исходные данные'!I27)</f>
        <v>-</v>
      </c>
    </row>
    <row r="28" spans="1:15">
      <c r="A28" s="44">
        <f>'Исходные данные'!B28</f>
        <v>0</v>
      </c>
      <c r="B28" s="62">
        <f>'Исходные данные'!G28</f>
        <v>0</v>
      </c>
      <c r="C28" s="64">
        <f>'Исходные данные'!S28</f>
        <v>0</v>
      </c>
      <c r="D28" s="62">
        <f>'Исходные данные'!H28</f>
        <v>0</v>
      </c>
      <c r="E28" s="64">
        <f>'Исходные данные'!S28</f>
        <v>0</v>
      </c>
      <c r="F28" s="100">
        <f>IF('Исходные данные'!G28&gt;1500,2,1)</f>
        <v>1</v>
      </c>
      <c r="G28" s="100">
        <f>IF('Исходные данные'!H28&gt;1300,2,1)</f>
        <v>1</v>
      </c>
      <c r="H28" s="100">
        <f>(F28*G28)*'Исходные данные'!S28</f>
        <v>0</v>
      </c>
      <c r="I28" s="4" t="str">
        <f>CONCATENATE('Исходные данные'!C28,'Исходные данные'!D28,'Исходные данные'!E28,'Исходные данные'!F28,'Исходные данные'!I28,'Исходные данные'!J28,'Исходные данные'!K28,'Исходные данные'!M28,'Исходные данные'!N28,'Исходные данные'!Q28,'Исходные данные'!P28,'Исходные данные'!Q28,'Исходные данные'!R28)</f>
        <v>----</v>
      </c>
      <c r="J28" s="4"/>
      <c r="K28" s="4"/>
      <c r="L28" s="4"/>
      <c r="M28" s="4"/>
      <c r="N28">
        <f>IF(AND('Исходные данные'!F28=3,'Исходные данные'!J28=1),0.206*'Исходные данные'!S28,IF(AND('Исходные данные'!F28=3,'Исходные данные'!J28=2),0.219*'Исходные данные'!S28,IF(AND('Исходные данные'!F28=1,'Исходные данные'!J28=2),0.275*'Исходные данные'!S28,IF(AND('Исходные данные'!F28=1,'Исходные данные'!J28=1),0.276*'Исходные данные'!S28,0))))</f>
        <v>0</v>
      </c>
      <c r="O28" t="str">
        <f>CONCATENATE('Исходные данные'!C28,'Исходные данные'!D28,'Исходные данные'!E28,'Исходные данные'!F28,'Исходные данные'!I28)</f>
        <v>-</v>
      </c>
    </row>
    <row r="29" spans="1:15">
      <c r="A29" s="44">
        <f>'Исходные данные'!B29</f>
        <v>0</v>
      </c>
      <c r="B29" s="62">
        <f>'Исходные данные'!G29</f>
        <v>0</v>
      </c>
      <c r="C29" s="64">
        <f>'Исходные данные'!S29</f>
        <v>0</v>
      </c>
      <c r="D29" s="62">
        <f>'Исходные данные'!H29</f>
        <v>0</v>
      </c>
      <c r="E29" s="64">
        <f>'Исходные данные'!S29</f>
        <v>0</v>
      </c>
      <c r="F29" s="100">
        <f>IF('Исходные данные'!G29&gt;1500,2,1)</f>
        <v>1</v>
      </c>
      <c r="G29" s="100">
        <f>IF('Исходные данные'!H29&gt;1300,2,1)</f>
        <v>1</v>
      </c>
      <c r="H29" s="100">
        <f>(F29*G29)*'Исходные данные'!S29</f>
        <v>0</v>
      </c>
      <c r="I29" s="4" t="str">
        <f>CONCATENATE('Исходные данные'!C29,'Исходные данные'!D29,'Исходные данные'!E29,'Исходные данные'!F29,'Исходные данные'!I29,'Исходные данные'!J29,'Исходные данные'!K29,'Исходные данные'!M29,'Исходные данные'!N29,'Исходные данные'!Q29,'Исходные данные'!P29,'Исходные данные'!Q29,'Исходные данные'!R29)</f>
        <v>----</v>
      </c>
      <c r="J29" s="4"/>
      <c r="K29" s="4"/>
      <c r="L29" s="4"/>
      <c r="M29" s="4"/>
      <c r="N29">
        <f>IF(AND('Исходные данные'!F29=3,'Исходные данные'!J29=1),0.206*'Исходные данные'!S29,IF(AND('Исходные данные'!F29=3,'Исходные данные'!J29=2),0.219*'Исходные данные'!S29,IF(AND('Исходные данные'!F29=1,'Исходные данные'!J29=2),0.275*'Исходные данные'!S29,IF(AND('Исходные данные'!F29=1,'Исходные данные'!J29=1),0.276*'Исходные данные'!S29,0))))</f>
        <v>0</v>
      </c>
      <c r="O29" t="str">
        <f>CONCATENATE('Исходные данные'!C29,'Исходные данные'!D29,'Исходные данные'!E29,'Исходные данные'!F29,'Исходные данные'!I29)</f>
        <v>-</v>
      </c>
    </row>
    <row r="30" spans="1:15">
      <c r="A30" s="44">
        <f>'Исходные данные'!B30</f>
        <v>0</v>
      </c>
      <c r="B30" s="62">
        <f>'Исходные данные'!G30</f>
        <v>0</v>
      </c>
      <c r="C30" s="64">
        <f>'Исходные данные'!S30</f>
        <v>0</v>
      </c>
      <c r="D30" s="62">
        <f>'Исходные данные'!H30</f>
        <v>0</v>
      </c>
      <c r="E30" s="64">
        <f>'Исходные данные'!S30</f>
        <v>0</v>
      </c>
      <c r="F30" s="100">
        <f>IF('Исходные данные'!G30&gt;1500,2,1)</f>
        <v>1</v>
      </c>
      <c r="G30" s="100">
        <f>IF('Исходные данные'!H30&gt;1300,2,1)</f>
        <v>1</v>
      </c>
      <c r="H30" s="100">
        <f>(F30*G30)*'Исходные данные'!S30</f>
        <v>0</v>
      </c>
      <c r="I30" s="4" t="str">
        <f>CONCATENATE('Исходные данные'!C30,'Исходные данные'!D30,'Исходные данные'!E30,'Исходные данные'!F30,'Исходные данные'!I30,'Исходные данные'!J30,'Исходные данные'!K30,'Исходные данные'!M30,'Исходные данные'!N30,'Исходные данные'!Q30,'Исходные данные'!P30,'Исходные данные'!Q30,'Исходные данные'!R30)</f>
        <v>----</v>
      </c>
      <c r="J30" s="4"/>
      <c r="K30" s="4"/>
      <c r="L30" s="4"/>
      <c r="M30" s="4"/>
      <c r="N30">
        <f>IF(AND('Исходные данные'!F30=3,'Исходные данные'!J30=1),0.206*'Исходные данные'!S30,IF(AND('Исходные данные'!F30=3,'Исходные данные'!J30=2),0.219*'Исходные данные'!S30,IF(AND('Исходные данные'!F30=1,'Исходные данные'!J30=2),0.275*'Исходные данные'!S30,IF(AND('Исходные данные'!F30=1,'Исходные данные'!J30=1),0.276*'Исходные данные'!S30,0))))</f>
        <v>0</v>
      </c>
      <c r="O30" t="str">
        <f>CONCATENATE('Исходные данные'!C30,'Исходные данные'!D30,'Исходные данные'!E30,'Исходные данные'!F30,'Исходные данные'!I30)</f>
        <v>-</v>
      </c>
    </row>
    <row r="31" spans="1:15">
      <c r="A31" s="44">
        <f>'Исходные данные'!B31</f>
        <v>0</v>
      </c>
      <c r="B31" s="62">
        <f>'Исходные данные'!G31</f>
        <v>0</v>
      </c>
      <c r="C31" s="64">
        <f>'Исходные данные'!S31</f>
        <v>0</v>
      </c>
      <c r="D31" s="62">
        <f>'Исходные данные'!H31</f>
        <v>0</v>
      </c>
      <c r="E31" s="64">
        <f>'Исходные данные'!S31</f>
        <v>0</v>
      </c>
      <c r="F31" s="100">
        <f>IF('Исходные данные'!G31&gt;1500,2,1)</f>
        <v>1</v>
      </c>
      <c r="G31" s="100">
        <f>IF('Исходные данные'!H31&gt;1300,2,1)</f>
        <v>1</v>
      </c>
      <c r="H31" s="100">
        <f>(F31*G31)*'Исходные данные'!S31</f>
        <v>0</v>
      </c>
      <c r="I31" s="4" t="str">
        <f>CONCATENATE('Исходные данные'!C31,'Исходные данные'!D31,'Исходные данные'!E31,'Исходные данные'!F31,'Исходные данные'!I31,'Исходные данные'!J31,'Исходные данные'!K31,'Исходные данные'!M31,'Исходные данные'!N31,'Исходные данные'!Q31,'Исходные данные'!P31,'Исходные данные'!Q31,'Исходные данные'!R31)</f>
        <v>----</v>
      </c>
      <c r="J31" s="4"/>
      <c r="K31" s="4"/>
      <c r="L31" s="4"/>
      <c r="M31" s="4"/>
      <c r="N31">
        <f>IF(AND('Исходные данные'!F31=3,'Исходные данные'!J31=1),0.206*'Исходные данные'!S31,IF(AND('Исходные данные'!F31=3,'Исходные данные'!J31=2),0.219*'Исходные данные'!S31,IF(AND('Исходные данные'!F31=1,'Исходные данные'!J31=2),0.275*'Исходные данные'!S31,IF(AND('Исходные данные'!F31=1,'Исходные данные'!J31=1),0.276*'Исходные данные'!S31,0))))</f>
        <v>0</v>
      </c>
      <c r="O31" t="str">
        <f>CONCATENATE('Исходные данные'!C31,'Исходные данные'!D31,'Исходные данные'!E31,'Исходные данные'!F31,'Исходные данные'!I31)</f>
        <v>-</v>
      </c>
    </row>
    <row r="32" spans="1:15">
      <c r="O32" t="str">
        <f>CONCATENATE('Исходные данные'!C37,'Исходные данные'!D37,'Исходные данные'!E37,'Исходные данные'!F37,'Исходные данные'!I37)</f>
        <v/>
      </c>
    </row>
    <row r="33" spans="1:17">
      <c r="B33" t="s">
        <v>71</v>
      </c>
      <c r="C33" t="s">
        <v>72</v>
      </c>
    </row>
    <row r="34" spans="1:17">
      <c r="B34" t="s">
        <v>148</v>
      </c>
      <c r="D34">
        <v>0.76800000000000002</v>
      </c>
    </row>
    <row r="35" spans="1:17">
      <c r="B35" t="s">
        <v>147</v>
      </c>
      <c r="C35" t="s">
        <v>72</v>
      </c>
      <c r="D35">
        <v>2.4420000000000002</v>
      </c>
    </row>
    <row r="37" spans="1:17" ht="21">
      <c r="A37" s="21"/>
      <c r="B37" s="48" t="s">
        <v>64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21"/>
      <c r="P37" s="21"/>
      <c r="Q37" s="21"/>
    </row>
    <row r="38" spans="1:17" ht="18.75">
      <c r="A38" s="21"/>
      <c r="B38" s="42" t="s">
        <v>73</v>
      </c>
      <c r="C38" s="42"/>
      <c r="D38" s="59">
        <f>'Исходные данные'!H13</f>
        <v>2222</v>
      </c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/>
      <c r="P38" s="21"/>
      <c r="Q38" s="21"/>
    </row>
    <row r="39" spans="1:17">
      <c r="A39" s="21"/>
      <c r="B39" s="21" t="s">
        <v>75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 spans="1:17">
      <c r="A40" s="21"/>
      <c r="B40" s="21" t="s">
        <v>65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 spans="1:17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 spans="1:17">
      <c r="A42" s="21"/>
      <c r="B42" s="21" t="s">
        <v>40</v>
      </c>
      <c r="C42" s="21" t="s">
        <v>45</v>
      </c>
      <c r="D42" s="21"/>
      <c r="E42" s="21" t="s">
        <v>128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 spans="1:17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spans="1:17">
      <c r="A44" s="21"/>
      <c r="B44" s="21" t="s">
        <v>66</v>
      </c>
      <c r="C44" s="21"/>
      <c r="D44" s="21"/>
      <c r="E44" s="21" t="s">
        <v>128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 spans="1:17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spans="1:17">
      <c r="A46" s="21"/>
      <c r="B46" s="21" t="s">
        <v>67</v>
      </c>
      <c r="C46" s="21"/>
      <c r="D46" s="21"/>
      <c r="E46" s="21" t="s">
        <v>128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 spans="1:1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</sheetData>
  <mergeCells count="10">
    <mergeCell ref="K15:K16"/>
    <mergeCell ref="L15:L16"/>
    <mergeCell ref="M15:M16"/>
    <mergeCell ref="A15:A16"/>
    <mergeCell ref="C15:C16"/>
    <mergeCell ref="E15:E16"/>
    <mergeCell ref="I15:I16"/>
    <mergeCell ref="J15:J16"/>
    <mergeCell ref="F15:G15"/>
    <mergeCell ref="H15:H16"/>
  </mergeCells>
  <pageMargins left="0.70866141732283472" right="0.70866141732283472" top="0.74803149606299213" bottom="0.74803149606299213" header="0.31496062992125984" footer="0.31496062992125984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2:R47"/>
  <sheetViews>
    <sheetView topLeftCell="A11" workbookViewId="0">
      <selection activeCell="C16" sqref="C16"/>
    </sheetView>
  </sheetViews>
  <sheetFormatPr defaultRowHeight="15"/>
  <cols>
    <col min="2" max="2" width="15" customWidth="1"/>
    <col min="3" max="3" width="19.140625" customWidth="1"/>
    <col min="4" max="4" width="16.28515625" customWidth="1"/>
    <col min="5" max="5" width="16.85546875" customWidth="1"/>
    <col min="6" max="6" width="10.28515625" customWidth="1"/>
    <col min="7" max="7" width="11.7109375" customWidth="1"/>
    <col min="8" max="8" width="11.42578125" customWidth="1"/>
    <col min="9" max="9" width="12.42578125" customWidth="1"/>
    <col min="10" max="10" width="10.140625" customWidth="1"/>
    <col min="11" max="11" width="7.28515625" customWidth="1"/>
    <col min="12" max="12" width="8" customWidth="1"/>
    <col min="13" max="13" width="6.7109375" customWidth="1"/>
    <col min="14" max="14" width="7.140625" customWidth="1"/>
    <col min="15" max="15" width="4.85546875" customWidth="1"/>
  </cols>
  <sheetData>
    <row r="12" spans="1:18" ht="18.75">
      <c r="B12" s="22" t="s">
        <v>60</v>
      </c>
      <c r="D12" s="33">
        <f>'Исходные данные'!H13</f>
        <v>2222</v>
      </c>
      <c r="E12" s="33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4" spans="1:18" ht="21">
      <c r="B14" s="55" t="s">
        <v>61</v>
      </c>
      <c r="C14" s="23"/>
      <c r="D14" s="53">
        <f>'Исходные данные'!P17</f>
        <v>0</v>
      </c>
      <c r="E14" s="23"/>
      <c r="F14" s="53"/>
      <c r="G14" s="53"/>
      <c r="H14" s="53"/>
      <c r="I14" s="43"/>
      <c r="J14" s="23"/>
      <c r="K14" s="23"/>
      <c r="L14" s="23"/>
      <c r="M14" s="23"/>
      <c r="N14" s="23"/>
    </row>
    <row r="15" spans="1:18">
      <c r="K15">
        <v>2.4E-2</v>
      </c>
      <c r="M15">
        <v>4.1666666666670002E-2</v>
      </c>
    </row>
    <row r="16" spans="1:18" ht="59.25" customHeight="1">
      <c r="A16" s="52" t="s">
        <v>8</v>
      </c>
      <c r="B16" s="52" t="s">
        <v>62</v>
      </c>
      <c r="C16" s="52" t="s">
        <v>82</v>
      </c>
      <c r="D16" s="52" t="s">
        <v>58</v>
      </c>
      <c r="E16" s="60" t="s">
        <v>83</v>
      </c>
      <c r="F16" s="61" t="s">
        <v>81</v>
      </c>
      <c r="G16" s="83" t="s">
        <v>125</v>
      </c>
      <c r="H16" s="83" t="s">
        <v>126</v>
      </c>
      <c r="I16" s="83" t="s">
        <v>127</v>
      </c>
      <c r="J16" s="83" t="s">
        <v>126</v>
      </c>
      <c r="K16" s="368" t="s">
        <v>13</v>
      </c>
      <c r="L16" s="368"/>
      <c r="M16" s="368" t="s">
        <v>71</v>
      </c>
      <c r="N16" s="368"/>
      <c r="O16" s="41"/>
      <c r="P16" s="41"/>
      <c r="Q16" s="41"/>
      <c r="R16" s="41"/>
    </row>
    <row r="17" spans="1:14">
      <c r="A17" s="44">
        <f>'Исходные данные'!B17</f>
        <v>0</v>
      </c>
      <c r="B17" s="44">
        <f>IF(OR('Исходные данные'!W17=1,'Исходные данные'!X17=1),'Исходные данные'!G17,0)</f>
        <v>0</v>
      </c>
      <c r="C17" s="44">
        <f>IF(OR('Исходные данные'!W17=1,'Исходные данные'!X17=1),'Исходные данные'!S17,0)</f>
        <v>0</v>
      </c>
      <c r="D17" s="44">
        <f>IF(OR('Исходные данные'!W17=1,'Исходные данные'!X17=1),'Исходные данные'!H17,0)</f>
        <v>0</v>
      </c>
      <c r="E17" s="54">
        <f>IF(OR('Исходные данные'!W17=1,'Исходные данные'!X17=1),'Исходные данные'!S17,0)</f>
        <v>0</v>
      </c>
      <c r="F17" s="62">
        <f>IF('Исходные данные'!W17=1,"МРЗ",IF('Исходные данные'!X17=1,"МРП",0))</f>
        <v>0</v>
      </c>
      <c r="G17" s="90"/>
      <c r="H17" s="90"/>
      <c r="I17" s="90"/>
      <c r="J17" s="90"/>
      <c r="K17">
        <f>IF(B17&gt;0,'Исходные данные'!S17*МРП!$K$15,0)</f>
        <v>0</v>
      </c>
      <c r="L17">
        <f>IF(D17&gt;0,'Исходные данные'!S17*МРП!$K$15,0)</f>
        <v>0</v>
      </c>
      <c r="M17">
        <f>IF(B17&gt;0,C17*$M$15,0)</f>
        <v>0</v>
      </c>
      <c r="N17">
        <f>IF(D17&gt;0,E17*$M$15,0)</f>
        <v>0</v>
      </c>
    </row>
    <row r="18" spans="1:14">
      <c r="A18" s="44">
        <f>'Исходные данные'!B18</f>
        <v>0</v>
      </c>
      <c r="B18" s="62">
        <f>IF(OR('Исходные данные'!W18=1,'Исходные данные'!X18=1),'Исходные данные'!G18,0)</f>
        <v>0</v>
      </c>
      <c r="C18" s="62">
        <f>IF(OR('Исходные данные'!W18=1,'Исходные данные'!X18=1),'Исходные данные'!S18,0)</f>
        <v>0</v>
      </c>
      <c r="D18" s="62">
        <f>IF(OR('Исходные данные'!W18=1,'Исходные данные'!X18=1),'Исходные данные'!H18,0)</f>
        <v>0</v>
      </c>
      <c r="E18" s="54">
        <f>IF(OR('Исходные данные'!W18=1,'Исходные данные'!X18=1),'Исходные данные'!S18,0)</f>
        <v>0</v>
      </c>
      <c r="F18" s="62">
        <f>IF('Исходные данные'!W18=1,"МРЗ",IF('Исходные данные'!X18=1,"МРП",0))</f>
        <v>0</v>
      </c>
      <c r="G18" s="86"/>
      <c r="H18" s="86"/>
      <c r="I18" s="4"/>
      <c r="J18" s="4"/>
      <c r="K18">
        <f>IF(B18&gt;0,'Исходные данные'!S18*МРП!$K$15,0)</f>
        <v>0</v>
      </c>
      <c r="L18">
        <f>IF(D18&gt;0,'Исходные данные'!S18*МРП!$K$15,0)</f>
        <v>0</v>
      </c>
      <c r="M18">
        <f t="shared" ref="M18:M31" si="0">IF(B18&gt;0,C18*$M$15,0)</f>
        <v>0</v>
      </c>
      <c r="N18">
        <f t="shared" ref="N18:N31" si="1">IF(D18&gt;0,E18*$M$15,0)</f>
        <v>0</v>
      </c>
    </row>
    <row r="19" spans="1:14">
      <c r="A19" s="44">
        <f>'Исходные данные'!B19</f>
        <v>0</v>
      </c>
      <c r="B19" s="62">
        <f>IF(OR('Исходные данные'!W19=1,'Исходные данные'!X19=1),'Исходные данные'!G19,0)</f>
        <v>0</v>
      </c>
      <c r="C19" s="62">
        <f>IF(OR('Исходные данные'!W19=1,'Исходные данные'!X19=1),'Исходные данные'!S19,0)</f>
        <v>0</v>
      </c>
      <c r="D19" s="62">
        <f>IF(OR('Исходные данные'!W19=1,'Исходные данные'!X19=1),'Исходные данные'!H19,0)</f>
        <v>0</v>
      </c>
      <c r="E19" s="54">
        <f>IF(OR('Исходные данные'!W19=1,'Исходные данные'!X19=1),'Исходные данные'!S19,0)</f>
        <v>0</v>
      </c>
      <c r="F19" s="62">
        <f>IF('Исходные данные'!W19=1,"МРЗ",IF('Исходные данные'!X19=1,"МРП",0))</f>
        <v>0</v>
      </c>
      <c r="G19" s="86"/>
      <c r="H19" s="86"/>
      <c r="I19" s="4"/>
      <c r="J19" s="4"/>
      <c r="K19">
        <f>IF(B19&gt;0,'Исходные данные'!S19*МРП!$K$15,0)</f>
        <v>0</v>
      </c>
      <c r="L19">
        <f>IF(D19&gt;0,'Исходные данные'!S19*МРП!$K$15,0)</f>
        <v>0</v>
      </c>
      <c r="M19">
        <f t="shared" si="0"/>
        <v>0</v>
      </c>
      <c r="N19">
        <f t="shared" si="1"/>
        <v>0</v>
      </c>
    </row>
    <row r="20" spans="1:14">
      <c r="A20" s="44">
        <f>'Исходные данные'!B20</f>
        <v>0</v>
      </c>
      <c r="B20" s="62">
        <f>IF(OR('Исходные данные'!W20=1,'Исходные данные'!X20=1),'Исходные данные'!G20,0)</f>
        <v>0</v>
      </c>
      <c r="C20" s="62">
        <f>IF(OR('Исходные данные'!W20=1,'Исходные данные'!X20=1),'Исходные данные'!S20,0)</f>
        <v>0</v>
      </c>
      <c r="D20" s="62">
        <f>IF(OR('Исходные данные'!W20=1,'Исходные данные'!X20=1),'Исходные данные'!H20,0)</f>
        <v>0</v>
      </c>
      <c r="E20" s="54">
        <f>IF(OR('Исходные данные'!W20=1,'Исходные данные'!X20=1),'Исходные данные'!S20,0)</f>
        <v>0</v>
      </c>
      <c r="F20" s="62">
        <f>IF('Исходные данные'!W20=1,"МРЗ",IF('Исходные данные'!X20=1,"МРП",0))</f>
        <v>0</v>
      </c>
      <c r="G20" s="86"/>
      <c r="H20" s="86"/>
      <c r="I20" s="4"/>
      <c r="J20" s="4"/>
      <c r="K20">
        <f>IF(B20&gt;0,'Исходные данные'!S20*МРП!$K$15,0)</f>
        <v>0</v>
      </c>
      <c r="L20">
        <f>IF(D20&gt;0,'Исходные данные'!S20*МРП!$K$15,0)</f>
        <v>0</v>
      </c>
      <c r="M20">
        <f t="shared" si="0"/>
        <v>0</v>
      </c>
      <c r="N20">
        <f t="shared" si="1"/>
        <v>0</v>
      </c>
    </row>
    <row r="21" spans="1:14">
      <c r="A21" s="44">
        <f>'Исходные данные'!B21</f>
        <v>0</v>
      </c>
      <c r="B21" s="62">
        <f>IF(OR('Исходные данные'!W21=1,'Исходные данные'!X21=1),'Исходные данные'!G21,0)</f>
        <v>0</v>
      </c>
      <c r="C21" s="62">
        <f>IF(OR('Исходные данные'!W21=1,'Исходные данные'!X21=1),'Исходные данные'!S21,0)</f>
        <v>0</v>
      </c>
      <c r="D21" s="62">
        <f>IF(OR('Исходные данные'!W21=1,'Исходные данные'!X21=1),'Исходные данные'!H21,0)</f>
        <v>0</v>
      </c>
      <c r="E21" s="54">
        <f>IF(OR('Исходные данные'!W21=1,'Исходные данные'!X21=1),'Исходные данные'!S21,0)</f>
        <v>0</v>
      </c>
      <c r="F21" s="62">
        <f>IF('Исходные данные'!W21=1,"МРЗ",IF('Исходные данные'!X21=1,"МРП",0))</f>
        <v>0</v>
      </c>
      <c r="G21" s="86"/>
      <c r="H21" s="86"/>
      <c r="I21" s="4"/>
      <c r="J21" s="4"/>
      <c r="K21">
        <f>IF(B21&gt;0,'Исходные данные'!S21*МРП!$K$15,0)</f>
        <v>0</v>
      </c>
      <c r="L21">
        <f>IF(D21&gt;0,'Исходные данные'!S21*МРП!$K$15,0)</f>
        <v>0</v>
      </c>
      <c r="M21">
        <f t="shared" si="0"/>
        <v>0</v>
      </c>
      <c r="N21">
        <f t="shared" si="1"/>
        <v>0</v>
      </c>
    </row>
    <row r="22" spans="1:14">
      <c r="A22" s="44">
        <f>'Исходные данные'!B22</f>
        <v>0</v>
      </c>
      <c r="B22" s="62">
        <f>IF(OR('Исходные данные'!W22=1,'Исходные данные'!X22=1),'Исходные данные'!G22,0)</f>
        <v>0</v>
      </c>
      <c r="C22" s="62">
        <f>IF(OR('Исходные данные'!W22=1,'Исходные данные'!X22=1),'Исходные данные'!S22,0)</f>
        <v>0</v>
      </c>
      <c r="D22" s="62">
        <f>IF(OR('Исходные данные'!W22=1,'Исходные данные'!X22=1),'Исходные данные'!H22,0)</f>
        <v>0</v>
      </c>
      <c r="E22" s="54">
        <f>IF(OR('Исходные данные'!W22=1,'Исходные данные'!X22=1),'Исходные данные'!S22,0)</f>
        <v>0</v>
      </c>
      <c r="F22" s="62">
        <f>IF('Исходные данные'!W22=1,"МРЗ",IF('Исходные данные'!X22=1,"МРП",0))</f>
        <v>0</v>
      </c>
      <c r="G22" s="86"/>
      <c r="H22" s="86"/>
      <c r="I22" s="4"/>
      <c r="J22" s="4"/>
      <c r="K22">
        <f>IF(B22&gt;0,'Исходные данные'!S22*МРП!$K$15,0)</f>
        <v>0</v>
      </c>
      <c r="L22">
        <f>IF(D22&gt;0,'Исходные данные'!S22*МРП!$K$15,0)</f>
        <v>0</v>
      </c>
      <c r="M22">
        <f t="shared" si="0"/>
        <v>0</v>
      </c>
      <c r="N22">
        <f t="shared" si="1"/>
        <v>0</v>
      </c>
    </row>
    <row r="23" spans="1:14">
      <c r="A23" s="44">
        <f>'Исходные данные'!B23</f>
        <v>0</v>
      </c>
      <c r="B23" s="62">
        <f>IF(OR('Исходные данные'!W23=1,'Исходные данные'!X23=1),'Исходные данные'!G23,0)</f>
        <v>0</v>
      </c>
      <c r="C23" s="62">
        <f>IF(OR('Исходные данные'!W23=1,'Исходные данные'!X23=1),'Исходные данные'!S23,0)</f>
        <v>0</v>
      </c>
      <c r="D23" s="62">
        <f>IF(OR('Исходные данные'!W23=1,'Исходные данные'!X23=1),'Исходные данные'!H23,0)</f>
        <v>0</v>
      </c>
      <c r="E23" s="54">
        <f>IF(OR('Исходные данные'!W23=1,'Исходные данные'!X23=1),'Исходные данные'!S23,0)</f>
        <v>0</v>
      </c>
      <c r="F23" s="62">
        <f>IF('Исходные данные'!W23=1,"МРЗ",IF('Исходные данные'!X23=1,"МРП",0))</f>
        <v>0</v>
      </c>
      <c r="G23" s="86"/>
      <c r="H23" s="86"/>
      <c r="I23" s="4"/>
      <c r="J23" s="4"/>
      <c r="K23">
        <f>IF(B23&gt;0,'Исходные данные'!S23*МРП!$K$15,0)</f>
        <v>0</v>
      </c>
      <c r="L23">
        <f>IF(D23&gt;0,'Исходные данные'!S23*МРП!$K$15,0)</f>
        <v>0</v>
      </c>
      <c r="M23">
        <f t="shared" si="0"/>
        <v>0</v>
      </c>
      <c r="N23">
        <f t="shared" si="1"/>
        <v>0</v>
      </c>
    </row>
    <row r="24" spans="1:14">
      <c r="A24" s="44">
        <f>'Исходные данные'!B24</f>
        <v>0</v>
      </c>
      <c r="B24" s="62">
        <f>IF(OR('Исходные данные'!W24=1,'Исходные данные'!X24=1),'Исходные данные'!G24,0)</f>
        <v>0</v>
      </c>
      <c r="C24" s="62">
        <f>IF(OR('Исходные данные'!W24=1,'Исходные данные'!X24=1),'Исходные данные'!S24,0)</f>
        <v>0</v>
      </c>
      <c r="D24" s="62">
        <f>IF(OR('Исходные данные'!W24=1,'Исходные данные'!X24=1),'Исходные данные'!H24,0)</f>
        <v>0</v>
      </c>
      <c r="E24" s="54">
        <f>IF(OR('Исходные данные'!W24=1,'Исходные данные'!X24=1),'Исходные данные'!S24,0)</f>
        <v>0</v>
      </c>
      <c r="F24" s="62">
        <f>IF('Исходные данные'!W24=1,"МРЗ",IF('Исходные данные'!X24=1,"МРП",0))</f>
        <v>0</v>
      </c>
      <c r="G24" s="86"/>
      <c r="H24" s="86"/>
      <c r="I24" s="4"/>
      <c r="J24" s="4"/>
      <c r="K24">
        <f>IF(B24&gt;0,'Исходные данные'!S24*МРП!$K$15,0)</f>
        <v>0</v>
      </c>
      <c r="L24">
        <f>IF(D24&gt;0,'Исходные данные'!S24*МРП!$K$15,0)</f>
        <v>0</v>
      </c>
      <c r="M24">
        <f t="shared" si="0"/>
        <v>0</v>
      </c>
      <c r="N24">
        <f t="shared" si="1"/>
        <v>0</v>
      </c>
    </row>
    <row r="25" spans="1:14">
      <c r="A25" s="44">
        <f>'Исходные данные'!B25</f>
        <v>0</v>
      </c>
      <c r="B25" s="62">
        <f>IF(OR('Исходные данные'!W25=1,'Исходные данные'!X25=1),'Исходные данные'!G25,0)</f>
        <v>0</v>
      </c>
      <c r="C25" s="62">
        <f>IF(OR('Исходные данные'!W25=1,'Исходные данные'!X25=1),'Исходные данные'!S25,0)</f>
        <v>0</v>
      </c>
      <c r="D25" s="62">
        <f>IF(OR('Исходные данные'!W25=1,'Исходные данные'!X25=1),'Исходные данные'!H25,0)</f>
        <v>0</v>
      </c>
      <c r="E25" s="54">
        <f>IF(OR('Исходные данные'!W25=1,'Исходные данные'!X25=1),'Исходные данные'!S25,0)</f>
        <v>0</v>
      </c>
      <c r="F25" s="62">
        <f>IF('Исходные данные'!W25=1,"МРЗ",IF('Исходные данные'!X25=1,"МРП",0))</f>
        <v>0</v>
      </c>
      <c r="G25" s="86"/>
      <c r="H25" s="86"/>
      <c r="I25" s="4"/>
      <c r="J25" s="4"/>
      <c r="K25">
        <f>IF(B25&gt;0,'Исходные данные'!S25*МРП!$K$15,0)</f>
        <v>0</v>
      </c>
      <c r="L25">
        <f>IF(D25&gt;0,'Исходные данные'!S25*МРП!$K$15,0)</f>
        <v>0</v>
      </c>
      <c r="M25">
        <f t="shared" si="0"/>
        <v>0</v>
      </c>
      <c r="N25">
        <f t="shared" si="1"/>
        <v>0</v>
      </c>
    </row>
    <row r="26" spans="1:14">
      <c r="A26" s="44">
        <f>'Исходные данные'!B26</f>
        <v>0</v>
      </c>
      <c r="B26" s="62">
        <f>IF(OR('Исходные данные'!W26=1,'Исходные данные'!X26=1),'Исходные данные'!G26,0)</f>
        <v>0</v>
      </c>
      <c r="C26" s="62">
        <f>IF(OR('Исходные данные'!W26=1,'Исходные данные'!X26=1),'Исходные данные'!S26,0)</f>
        <v>0</v>
      </c>
      <c r="D26" s="62">
        <f>IF(OR('Исходные данные'!W26=1,'Исходные данные'!X26=1),'Исходные данные'!H26,0)</f>
        <v>0</v>
      </c>
      <c r="E26" s="54">
        <f>IF(OR('Исходные данные'!W26=1,'Исходные данные'!X26=1),'Исходные данные'!S26,0)</f>
        <v>0</v>
      </c>
      <c r="F26" s="62">
        <f>IF('Исходные данные'!W26=1,"МРЗ",IF('Исходные данные'!X26=1,"МРП",0))</f>
        <v>0</v>
      </c>
      <c r="G26" s="86"/>
      <c r="H26" s="86"/>
      <c r="I26" s="4"/>
      <c r="J26" s="4"/>
      <c r="K26">
        <f>IF(B26&gt;0,'Исходные данные'!S26*МРП!$K$15,0)</f>
        <v>0</v>
      </c>
      <c r="L26">
        <f>IF(D26&gt;0,'Исходные данные'!S26*МРП!$K$15,0)</f>
        <v>0</v>
      </c>
      <c r="M26">
        <f t="shared" si="0"/>
        <v>0</v>
      </c>
      <c r="N26">
        <f t="shared" si="1"/>
        <v>0</v>
      </c>
    </row>
    <row r="27" spans="1:14">
      <c r="A27" s="44">
        <f>'Исходные данные'!B27</f>
        <v>0</v>
      </c>
      <c r="B27" s="62">
        <f>IF(OR('Исходные данные'!W27=1,'Исходные данные'!X27=1),'Исходные данные'!G27,0)</f>
        <v>0</v>
      </c>
      <c r="C27" s="62">
        <f>IF(OR('Исходные данные'!W27=1,'Исходные данные'!X27=1),'Исходные данные'!S27,0)</f>
        <v>0</v>
      </c>
      <c r="D27" s="62">
        <f>IF(OR('Исходные данные'!W27=1,'Исходные данные'!X27=1),'Исходные данные'!H27,0)</f>
        <v>0</v>
      </c>
      <c r="E27" s="54">
        <f>IF(OR('Исходные данные'!W27=1,'Исходные данные'!X27=1),'Исходные данные'!S27,0)</f>
        <v>0</v>
      </c>
      <c r="F27" s="62">
        <f>IF('Исходные данные'!W27=1,"МРЗ",IF('Исходные данные'!X27=1,"МРП",0))</f>
        <v>0</v>
      </c>
      <c r="G27" s="86"/>
      <c r="H27" s="86"/>
      <c r="I27" s="4"/>
      <c r="J27" s="4"/>
      <c r="K27">
        <f>IF(B27&gt;0,'Исходные данные'!S27*МРП!$K$15,0)</f>
        <v>0</v>
      </c>
      <c r="L27">
        <f>IF(D27&gt;0,'Исходные данные'!S27*МРП!$K$15,0)</f>
        <v>0</v>
      </c>
      <c r="M27">
        <f t="shared" si="0"/>
        <v>0</v>
      </c>
      <c r="N27">
        <f t="shared" si="1"/>
        <v>0</v>
      </c>
    </row>
    <row r="28" spans="1:14">
      <c r="A28" s="44">
        <f>'Исходные данные'!B28</f>
        <v>0</v>
      </c>
      <c r="B28" s="62">
        <f>IF(OR('Исходные данные'!W28=1,'Исходные данные'!X28=1),'Исходные данные'!G28,0)</f>
        <v>0</v>
      </c>
      <c r="C28" s="62">
        <f>IF(OR('Исходные данные'!W28=1,'Исходные данные'!X28=1),'Исходные данные'!S28,0)</f>
        <v>0</v>
      </c>
      <c r="D28" s="62">
        <f>IF(OR('Исходные данные'!W28=1,'Исходные данные'!X28=1),'Исходные данные'!H28,0)</f>
        <v>0</v>
      </c>
      <c r="E28" s="54">
        <f>IF(OR('Исходные данные'!W28=1,'Исходные данные'!X28=1),'Исходные данные'!S28,0)</f>
        <v>0</v>
      </c>
      <c r="F28" s="62">
        <f>IF('Исходные данные'!W28=1,"МРЗ",IF('Исходные данные'!X28=1,"МРП",0))</f>
        <v>0</v>
      </c>
      <c r="G28" s="86"/>
      <c r="H28" s="86"/>
      <c r="I28" s="4"/>
      <c r="J28" s="4"/>
      <c r="K28">
        <f>IF(B28&gt;0,'Исходные данные'!S28*МРП!$K$15,0)</f>
        <v>0</v>
      </c>
      <c r="L28">
        <f>IF(D28&gt;0,'Исходные данные'!S28*МРП!$K$15,0)</f>
        <v>0</v>
      </c>
      <c r="M28">
        <f t="shared" si="0"/>
        <v>0</v>
      </c>
      <c r="N28">
        <f t="shared" si="1"/>
        <v>0</v>
      </c>
    </row>
    <row r="29" spans="1:14">
      <c r="A29" s="44">
        <f>'Исходные данные'!B29</f>
        <v>0</v>
      </c>
      <c r="B29" s="62">
        <f>IF(OR('Исходные данные'!W29=1,'Исходные данные'!X29=1),'Исходные данные'!G29,0)</f>
        <v>0</v>
      </c>
      <c r="C29" s="62">
        <f>IF(OR('Исходные данные'!W29=1,'Исходные данные'!X29=1),'Исходные данные'!S29,0)</f>
        <v>0</v>
      </c>
      <c r="D29" s="62">
        <f>IF(OR('Исходные данные'!W29=1,'Исходные данные'!X29=1),'Исходные данные'!H29,0)</f>
        <v>0</v>
      </c>
      <c r="E29" s="54">
        <f>IF(OR('Исходные данные'!W29=1,'Исходные данные'!X29=1),'Исходные данные'!S29,0)</f>
        <v>0</v>
      </c>
      <c r="F29" s="62">
        <f>IF('Исходные данные'!W29=1,"МРЗ",IF('Исходные данные'!X29=1,"МРП",0))</f>
        <v>0</v>
      </c>
      <c r="G29" s="86"/>
      <c r="H29" s="86"/>
      <c r="I29" s="4"/>
      <c r="J29" s="4"/>
      <c r="K29">
        <f>IF(B29&gt;0,'Исходные данные'!S29*МРП!$K$15,0)</f>
        <v>0</v>
      </c>
      <c r="L29">
        <f>IF(D29&gt;0,'Исходные данные'!S29*МРП!$K$15,0)</f>
        <v>0</v>
      </c>
      <c r="M29">
        <f t="shared" si="0"/>
        <v>0</v>
      </c>
      <c r="N29">
        <f t="shared" si="1"/>
        <v>0</v>
      </c>
    </row>
    <row r="30" spans="1:14">
      <c r="A30" s="44">
        <f>'Исходные данные'!B30</f>
        <v>0</v>
      </c>
      <c r="B30" s="62">
        <f>IF(OR('Исходные данные'!W30=1,'Исходные данные'!X30=1),'Исходные данные'!G30,0)</f>
        <v>0</v>
      </c>
      <c r="C30" s="62">
        <f>IF(OR('Исходные данные'!W30=1,'Исходные данные'!X30=1),'Исходные данные'!S30,0)</f>
        <v>0</v>
      </c>
      <c r="D30" s="62">
        <f>IF(OR('Исходные данные'!W30=1,'Исходные данные'!X30=1),'Исходные данные'!H30,0)</f>
        <v>0</v>
      </c>
      <c r="E30" s="54">
        <f>IF(OR('Исходные данные'!W30=1,'Исходные данные'!X30=1),'Исходные данные'!S30,0)</f>
        <v>0</v>
      </c>
      <c r="F30" s="62">
        <f>IF('Исходные данные'!W30=1,"МРЗ",IF('Исходные данные'!X30=1,"МРП",0))</f>
        <v>0</v>
      </c>
      <c r="G30" s="86"/>
      <c r="H30" s="86"/>
      <c r="I30" s="4"/>
      <c r="J30" s="4"/>
      <c r="K30">
        <f>IF(B30&gt;0,'Исходные данные'!S30*МРП!$K$15,0)</f>
        <v>0</v>
      </c>
      <c r="L30">
        <f>IF(D30&gt;0,'Исходные данные'!S30*МРП!$K$15,0)</f>
        <v>0</v>
      </c>
      <c r="M30">
        <f t="shared" si="0"/>
        <v>0</v>
      </c>
      <c r="N30">
        <f t="shared" si="1"/>
        <v>0</v>
      </c>
    </row>
    <row r="31" spans="1:14">
      <c r="A31" s="44">
        <f>'Исходные данные'!B31</f>
        <v>0</v>
      </c>
      <c r="B31" s="62">
        <f>IF(OR('Исходные данные'!W31=1,'Исходные данные'!X31=1),'Исходные данные'!G31,0)</f>
        <v>0</v>
      </c>
      <c r="C31" s="62">
        <f>IF(OR('Исходные данные'!W31=1,'Исходные данные'!X31=1),'Исходные данные'!S31,0)</f>
        <v>0</v>
      </c>
      <c r="D31" s="62">
        <f>IF(OR('Исходные данные'!W31=1,'Исходные данные'!X31=1),'Исходные данные'!H31,0)</f>
        <v>0</v>
      </c>
      <c r="E31" s="54">
        <f>IF(OR('Исходные данные'!W31=1,'Исходные данные'!X31=1),'Исходные данные'!S31,0)</f>
        <v>0</v>
      </c>
      <c r="F31" s="62">
        <f>IF('Исходные данные'!W31=1,"МРЗ",IF('Исходные данные'!X31=1,"МРП",0))</f>
        <v>0</v>
      </c>
      <c r="G31" s="86"/>
      <c r="H31" s="86"/>
      <c r="I31" s="4"/>
      <c r="J31" s="4"/>
      <c r="K31">
        <f>IF(B31&gt;0,'Исходные данные'!S31*МРП!$K$15,0)</f>
        <v>0</v>
      </c>
      <c r="L31">
        <f>IF(D31&gt;0,'Исходные данные'!S31*МРП!$K$15,0)</f>
        <v>0</v>
      </c>
      <c r="M31">
        <f t="shared" si="0"/>
        <v>0</v>
      </c>
      <c r="N31">
        <f t="shared" si="1"/>
        <v>0</v>
      </c>
    </row>
    <row r="33" spans="1:12">
      <c r="A33" s="21"/>
      <c r="B33" s="21" t="s">
        <v>71</v>
      </c>
      <c r="C33" s="21" t="s">
        <v>72</v>
      </c>
      <c r="D33">
        <f>SUM(M17:N31)</f>
        <v>0</v>
      </c>
    </row>
    <row r="34" spans="1:12">
      <c r="A34" s="21"/>
      <c r="B34" s="21"/>
      <c r="C34" s="21"/>
    </row>
    <row r="35" spans="1:12">
      <c r="A35" s="21"/>
      <c r="B35" s="21" t="s">
        <v>13</v>
      </c>
      <c r="C35" s="21" t="s">
        <v>72</v>
      </c>
      <c r="D35" s="101">
        <f>SUM(K17:L31)</f>
        <v>0</v>
      </c>
    </row>
    <row r="37" spans="1:12" ht="21">
      <c r="A37" s="21"/>
      <c r="B37" s="48" t="s">
        <v>64</v>
      </c>
      <c r="C37" s="48"/>
      <c r="D37" s="48"/>
      <c r="E37" s="48"/>
      <c r="F37" s="48"/>
      <c r="G37" s="48"/>
      <c r="H37" s="48"/>
      <c r="I37" s="48"/>
      <c r="J37" s="21"/>
      <c r="K37" s="21"/>
      <c r="L37" s="21"/>
    </row>
    <row r="38" spans="1:12" ht="18.75">
      <c r="A38" s="21"/>
      <c r="B38" s="42" t="s">
        <v>73</v>
      </c>
      <c r="C38" s="42"/>
      <c r="D38" s="42">
        <f>'Исходные данные'!H13</f>
        <v>2222</v>
      </c>
      <c r="E38" s="42"/>
      <c r="F38" s="42"/>
      <c r="G38" s="42"/>
      <c r="H38" s="42"/>
      <c r="I38" s="42"/>
      <c r="J38" s="21"/>
      <c r="K38" s="21"/>
      <c r="L38" s="21"/>
    </row>
    <row r="39" spans="1:12">
      <c r="A39" s="21"/>
      <c r="B39" s="21" t="s">
        <v>76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1:12">
      <c r="A40" s="21"/>
      <c r="B40" s="21" t="s">
        <v>65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pans="1:1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2">
      <c r="A42" s="21"/>
      <c r="B42" s="21" t="s">
        <v>40</v>
      </c>
      <c r="C42" s="21" t="s">
        <v>45</v>
      </c>
      <c r="D42" s="21"/>
      <c r="E42" s="21" t="s">
        <v>128</v>
      </c>
      <c r="F42" s="21"/>
      <c r="G42" s="21"/>
      <c r="H42" s="21"/>
      <c r="I42" s="21"/>
      <c r="J42" s="21"/>
      <c r="K42" s="21"/>
      <c r="L42" s="21"/>
    </row>
    <row r="43" spans="1:1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1:12">
      <c r="A44" s="21"/>
      <c r="B44" s="21" t="s">
        <v>66</v>
      </c>
      <c r="C44" s="21"/>
      <c r="D44" s="21"/>
      <c r="E44" s="21" t="s">
        <v>128</v>
      </c>
      <c r="F44" s="21"/>
      <c r="G44" s="21"/>
      <c r="H44" s="21"/>
      <c r="I44" s="21"/>
      <c r="J44" s="21"/>
      <c r="K44" s="21"/>
      <c r="L44" s="21"/>
    </row>
    <row r="45" spans="1:1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12">
      <c r="A46" s="21"/>
      <c r="B46" s="21" t="s">
        <v>67</v>
      </c>
      <c r="C46" s="21"/>
      <c r="D46" s="21"/>
      <c r="E46" s="21" t="s">
        <v>128</v>
      </c>
      <c r="F46" s="21"/>
      <c r="G46" s="21"/>
      <c r="H46" s="21"/>
      <c r="I46" s="21"/>
      <c r="J46" s="21"/>
      <c r="K46" s="21"/>
      <c r="L46" s="21"/>
    </row>
    <row r="47" spans="1:1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</sheetData>
  <mergeCells count="2">
    <mergeCell ref="K16:L16"/>
    <mergeCell ref="M16:N16"/>
  </mergeCells>
  <pageMargins left="3.937007874015748E-2" right="3.937007874015748E-2" top="0.74803149606299213" bottom="0.74803149606299213" header="0.31496062992125984" footer="0.31496062992125984"/>
  <pageSetup paperSize="9" scale="7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1:P45"/>
  <sheetViews>
    <sheetView topLeftCell="A19" workbookViewId="0">
      <selection activeCell="A10" sqref="A10:J45"/>
    </sheetView>
  </sheetViews>
  <sheetFormatPr defaultRowHeight="15"/>
  <cols>
    <col min="2" max="2" width="23.85546875" customWidth="1"/>
    <col min="3" max="3" width="11.85546875" customWidth="1"/>
    <col min="4" max="4" width="8.28515625" customWidth="1"/>
    <col min="5" max="5" width="10.28515625" customWidth="1"/>
    <col min="6" max="6" width="13" customWidth="1"/>
    <col min="7" max="7" width="13.28515625" customWidth="1"/>
    <col min="8" max="8" width="13.140625" customWidth="1"/>
    <col min="9" max="10" width="14.7109375" customWidth="1"/>
    <col min="11" max="11" width="3.140625" customWidth="1"/>
    <col min="12" max="12" width="3.85546875" customWidth="1"/>
    <col min="13" max="13" width="5.28515625" customWidth="1"/>
    <col min="14" max="14" width="4.85546875" customWidth="1"/>
  </cols>
  <sheetData>
    <row r="11" spans="1:16" ht="18.75">
      <c r="B11" s="22" t="s">
        <v>63</v>
      </c>
      <c r="F11" s="33">
        <f>'Исходные данные'!H13</f>
        <v>2222</v>
      </c>
      <c r="G11" s="33"/>
      <c r="H11" s="33"/>
    </row>
    <row r="13" spans="1:16" ht="18.75">
      <c r="A13" s="21"/>
      <c r="B13" s="24"/>
      <c r="C13" s="22"/>
      <c r="D13" s="24"/>
      <c r="E13" s="24"/>
      <c r="F13" s="24"/>
      <c r="G13" s="24"/>
      <c r="H13" s="24"/>
      <c r="I13" s="24"/>
      <c r="J13" s="24"/>
      <c r="K13" s="24"/>
      <c r="L13" s="24"/>
      <c r="M13" s="24"/>
    </row>
    <row r="14" spans="1:16">
      <c r="A14" s="21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1:16">
      <c r="A15" s="21"/>
      <c r="B15" s="24"/>
      <c r="C15" s="24"/>
      <c r="D15" s="24"/>
      <c r="E15" s="24"/>
      <c r="F15" s="24"/>
      <c r="G15" s="24"/>
      <c r="H15" s="24"/>
      <c r="I15" s="24"/>
      <c r="J15" s="24" t="s">
        <v>13</v>
      </c>
      <c r="K15" s="24"/>
      <c r="L15" s="24"/>
      <c r="M15" s="24"/>
    </row>
    <row r="16" spans="1:16" ht="51">
      <c r="B16" s="56" t="s">
        <v>97</v>
      </c>
      <c r="C16" s="56" t="s">
        <v>4</v>
      </c>
      <c r="D16" s="56" t="s">
        <v>7</v>
      </c>
      <c r="E16" s="56" t="s">
        <v>2</v>
      </c>
      <c r="F16" s="91" t="s">
        <v>125</v>
      </c>
      <c r="G16" s="91" t="s">
        <v>126</v>
      </c>
      <c r="H16" s="91" t="s">
        <v>127</v>
      </c>
      <c r="I16" s="91" t="s">
        <v>126</v>
      </c>
      <c r="J16">
        <v>6.0000000000000001E-3</v>
      </c>
      <c r="P16" t="s">
        <v>98</v>
      </c>
    </row>
    <row r="17" spans="2:16" ht="15.75">
      <c r="B17" s="57" t="str">
        <f>IF('Исходные данные'!V17=1,"Сетка",IF('Исходные данные'!U17=2,"решетка жалюзийная","---"))</f>
        <v>---</v>
      </c>
      <c r="C17" s="44">
        <f>IF('Исходные данные'!V17=1,'Исходные данные'!G17,IF('Исходные данные'!U17=2,'Исходные данные'!G17,0))</f>
        <v>0</v>
      </c>
      <c r="D17" s="44">
        <f>IF('Исходные данные'!V17=1,'Исходные данные'!H17,IF('Исходные данные'!U17=2,'Исходные данные'!H17,0))</f>
        <v>0</v>
      </c>
      <c r="E17" s="63">
        <f>IF('Исходные данные'!V17=1,'Исходные данные'!S17,IF('Исходные данные'!U17=2,'Исходные данные'!S17,0))</f>
        <v>0</v>
      </c>
      <c r="F17" s="44"/>
      <c r="G17" s="86"/>
      <c r="H17" s="86"/>
      <c r="I17" s="4"/>
      <c r="J17">
        <f>IF('Исходные данные'!U17=2,IF('Исходные данные'!G17&lt;=1000,(((ROUNDDOWN('Исходные данные'!H17/52,0))+4)*$J$16*E17),((ROUNDDOWN('Исходные данные'!H17/52,0)*2+4)*$J$16*E17)),0)</f>
        <v>0</v>
      </c>
      <c r="P17">
        <f>ROUNDDOWN('Исходные данные'!H17/52,0)</f>
        <v>0</v>
      </c>
    </row>
    <row r="18" spans="2:16" ht="15.75">
      <c r="B18" s="57" t="str">
        <f>IF('Исходные данные'!V18=1,"Сетка",IF('Исходные данные'!U18=2,"решетка жалюзийная","---"))</f>
        <v>---</v>
      </c>
      <c r="C18" s="71">
        <f>IF('Исходные данные'!V18=1,'Исходные данные'!G18,IF('Исходные данные'!U18=2,'Исходные данные'!G18,0))</f>
        <v>0</v>
      </c>
      <c r="D18" s="71">
        <f>IF('Исходные данные'!V18=1,'Исходные данные'!H18,IF('Исходные данные'!U18=2,'Исходные данные'!H18,0))</f>
        <v>0</v>
      </c>
      <c r="E18" s="71">
        <f>IF('Исходные данные'!V18=1,'Исходные данные'!S18,IF('Исходные данные'!U18=2,'Исходные данные'!S18,0))</f>
        <v>0</v>
      </c>
      <c r="F18" s="4"/>
      <c r="G18" s="4"/>
      <c r="H18" s="4"/>
      <c r="I18" s="4"/>
      <c r="J18">
        <f>IF('Исходные данные'!U18=2,IF('Исходные данные'!G18&lt;=1000,(((ROUNDDOWN('Исходные данные'!H18/52,0))+4)*$J$16*E18),((ROUNDDOWN('Исходные данные'!H18/52,0)*2+4)*$J$16*E18)),0)</f>
        <v>0</v>
      </c>
    </row>
    <row r="19" spans="2:16" ht="15.75">
      <c r="B19" s="57" t="str">
        <f>IF('Исходные данные'!V19=1,"Сетка",IF('Исходные данные'!U19=2,"решетка жалюзийная","---"))</f>
        <v>---</v>
      </c>
      <c r="C19" s="71">
        <f>IF('Исходные данные'!V19=1,'Исходные данные'!G19,IF('Исходные данные'!U19=2,'Исходные данные'!G19,0))</f>
        <v>0</v>
      </c>
      <c r="D19" s="71">
        <f>IF('Исходные данные'!V19=1,'Исходные данные'!H19,IF('Исходные данные'!U19=2,'Исходные данные'!H19,0))</f>
        <v>0</v>
      </c>
      <c r="E19" s="71">
        <f>IF('Исходные данные'!V19=1,'Исходные данные'!S19,IF('Исходные данные'!U19=2,'Исходные данные'!S19,0))</f>
        <v>0</v>
      </c>
      <c r="F19" s="4"/>
      <c r="G19" s="4"/>
      <c r="H19" s="4"/>
      <c r="I19" s="4"/>
      <c r="J19">
        <f>IF('Исходные данные'!U19=2,IF('Исходные данные'!G19&lt;=1000,(((ROUNDDOWN('Исходные данные'!H19/52,0))+4)*$J$16*E19),((ROUNDDOWN('Исходные данные'!H19/52,0)*2+4)*$J$16*E19)),0)</f>
        <v>0</v>
      </c>
    </row>
    <row r="20" spans="2:16" ht="15.75">
      <c r="B20" s="57" t="str">
        <f>IF('Исходные данные'!V20=1,"Сетка",IF('Исходные данные'!U20=2,"решетка жалюзийная","---"))</f>
        <v>---</v>
      </c>
      <c r="C20" s="71">
        <f>IF('Исходные данные'!V20=1,'Исходные данные'!G20,IF('Исходные данные'!U20=2,'Исходные данные'!G20,0))</f>
        <v>0</v>
      </c>
      <c r="D20" s="71">
        <f>IF('Исходные данные'!V20=1,'Исходные данные'!H20,IF('Исходные данные'!U20=2,'Исходные данные'!H20,0))</f>
        <v>0</v>
      </c>
      <c r="E20" s="71">
        <f>IF('Исходные данные'!V20=1,'Исходные данные'!S20,IF('Исходные данные'!U20=2,'Исходные данные'!S20,0))</f>
        <v>0</v>
      </c>
      <c r="F20" s="4"/>
      <c r="G20" s="4"/>
      <c r="H20" s="4"/>
      <c r="I20" s="4"/>
      <c r="J20">
        <f>IF('Исходные данные'!U20=2,IF('Исходные данные'!G20&lt;=1000,(((ROUNDDOWN('Исходные данные'!H20/52,0))+4)*$J$16*E20),((ROUNDDOWN('Исходные данные'!H20/52,0)*2+4)*$J$16*E20)),0)</f>
        <v>0</v>
      </c>
    </row>
    <row r="21" spans="2:16" ht="15.75">
      <c r="B21" s="57" t="str">
        <f>IF('Исходные данные'!V21=1,"Сетка",IF('Исходные данные'!U21=2,"решетка жалюзийная","---"))</f>
        <v>---</v>
      </c>
      <c r="C21" s="71">
        <f>IF('Исходные данные'!V21=1,'Исходные данные'!G21,IF('Исходные данные'!U21=2,'Исходные данные'!G21,0))</f>
        <v>0</v>
      </c>
      <c r="D21" s="71">
        <f>IF('Исходные данные'!V21=1,'Исходные данные'!H21,IF('Исходные данные'!U21=2,'Исходные данные'!H21,0))</f>
        <v>0</v>
      </c>
      <c r="E21" s="71">
        <f>IF('Исходные данные'!V21=1,'Исходные данные'!S21,IF('Исходные данные'!U21=2,'Исходные данные'!S21,0))</f>
        <v>0</v>
      </c>
      <c r="F21" s="4"/>
      <c r="G21" s="4"/>
      <c r="H21" s="4"/>
      <c r="I21" s="4"/>
      <c r="J21">
        <f>IF('Исходные данные'!U21=2,IF('Исходные данные'!G21&lt;=1000,(((ROUNDDOWN('Исходные данные'!H21/52,0))+4)*$J$16*E21),((ROUNDDOWN('Исходные данные'!H21/52,0)*2+4)*$J$16*E21)),0)</f>
        <v>0</v>
      </c>
    </row>
    <row r="22" spans="2:16" ht="15.75">
      <c r="B22" s="57" t="str">
        <f>IF('Исходные данные'!V22=1,"Сетка",IF('Исходные данные'!U22=2,"решетка жалюзийная","---"))</f>
        <v>---</v>
      </c>
      <c r="C22" s="71">
        <f>IF('Исходные данные'!V22=1,'Исходные данные'!G22,IF('Исходные данные'!U22=2,'Исходные данные'!G22,0))</f>
        <v>0</v>
      </c>
      <c r="D22" s="71">
        <f>IF('Исходные данные'!V22=1,'Исходные данные'!H22,IF('Исходные данные'!U22=2,'Исходные данные'!H22,0))</f>
        <v>0</v>
      </c>
      <c r="E22" s="71">
        <f>IF('Исходные данные'!V22=1,'Исходные данные'!S22,IF('Исходные данные'!U22=2,'Исходные данные'!S22,0))</f>
        <v>0</v>
      </c>
      <c r="F22" s="4"/>
      <c r="G22" s="4"/>
      <c r="H22" s="4"/>
      <c r="I22" s="4"/>
      <c r="J22">
        <f>IF('Исходные данные'!U22=2,IF('Исходные данные'!G22&lt;=1000,(((ROUNDDOWN('Исходные данные'!H22/52,0))+4)*$J$16*E22),((ROUNDDOWN('Исходные данные'!H22/52,0)*2+4)*$J$16*E22)),0)</f>
        <v>0</v>
      </c>
    </row>
    <row r="23" spans="2:16" ht="15.75">
      <c r="B23" s="57" t="str">
        <f>IF('Исходные данные'!V23=1,"Сетка",IF('Исходные данные'!U23=2,"решетка жалюзийная","---"))</f>
        <v>---</v>
      </c>
      <c r="C23" s="71">
        <f>IF('Исходные данные'!V23=1,'Исходные данные'!G23,IF('Исходные данные'!U23=2,'Исходные данные'!G23,0))</f>
        <v>0</v>
      </c>
      <c r="D23" s="71">
        <f>IF('Исходные данные'!V23=1,'Исходные данные'!H23,IF('Исходные данные'!U23=2,'Исходные данные'!H23,0))</f>
        <v>0</v>
      </c>
      <c r="E23" s="71">
        <f>IF('Исходные данные'!V23=1,'Исходные данные'!S23,IF('Исходные данные'!U23=2,'Исходные данные'!S23,0))</f>
        <v>0</v>
      </c>
      <c r="F23" s="4"/>
      <c r="G23" s="4"/>
      <c r="H23" s="4"/>
      <c r="I23" s="4"/>
      <c r="J23">
        <f>IF('Исходные данные'!U23=2,IF('Исходные данные'!G23&lt;=1000,(((ROUNDDOWN('Исходные данные'!H23/52,0))+4)*$J$16*E23),((ROUNDDOWN('Исходные данные'!H23/52,0)*2+4)*$J$16*E23)),0)</f>
        <v>0</v>
      </c>
    </row>
    <row r="24" spans="2:16" ht="15.75">
      <c r="B24" s="57" t="str">
        <f>IF('Исходные данные'!V24=1,"Сетка",IF('Исходные данные'!U24=2,"решетка жалюзийная","---"))</f>
        <v>---</v>
      </c>
      <c r="C24" s="71">
        <f>IF('Исходные данные'!V24=1,'Исходные данные'!G24,IF('Исходные данные'!U24=2,'Исходные данные'!G24,0))</f>
        <v>0</v>
      </c>
      <c r="D24" s="71">
        <f>IF('Исходные данные'!V24=1,'Исходные данные'!H24,IF('Исходные данные'!U24=2,'Исходные данные'!H24,0))</f>
        <v>0</v>
      </c>
      <c r="E24" s="71">
        <f>IF('Исходные данные'!V24=1,'Исходные данные'!S24,IF('Исходные данные'!U24=2,'Исходные данные'!S24,0))</f>
        <v>0</v>
      </c>
      <c r="F24" s="4"/>
      <c r="G24" s="4"/>
      <c r="H24" s="4"/>
      <c r="I24" s="4"/>
      <c r="J24">
        <f>IF('Исходные данные'!U24=2,IF('Исходные данные'!G24&lt;=1000,(((ROUNDDOWN('Исходные данные'!H24/52,0))+4)*$J$16*E24),((ROUNDDOWN('Исходные данные'!H24/52,0)*2+4)*$J$16*E24)),0)</f>
        <v>0</v>
      </c>
    </row>
    <row r="25" spans="2:16" ht="15.75">
      <c r="B25" s="57" t="str">
        <f>IF('Исходные данные'!V25=1,"Сетка",IF('Исходные данные'!U25=2,"решетка жалюзийная","---"))</f>
        <v>---</v>
      </c>
      <c r="C25" s="71">
        <f>IF('Исходные данные'!V25=1,'Исходные данные'!G25,IF('Исходные данные'!U25=2,'Исходные данные'!G25,0))</f>
        <v>0</v>
      </c>
      <c r="D25" s="71">
        <f>IF('Исходные данные'!V25=1,'Исходные данные'!H25,IF('Исходные данные'!U25=2,'Исходные данные'!H25,0))</f>
        <v>0</v>
      </c>
      <c r="E25" s="71">
        <f>IF('Исходные данные'!V25=1,'Исходные данные'!S25,IF('Исходные данные'!U25=2,'Исходные данные'!S25,0))</f>
        <v>0</v>
      </c>
      <c r="F25" s="4"/>
      <c r="G25" s="4"/>
      <c r="H25" s="4"/>
      <c r="I25" s="4"/>
      <c r="J25">
        <f>IF('Исходные данные'!U25=2,IF('Исходные данные'!G25&lt;=1000,(((ROUNDDOWN('Исходные данные'!H25/52,0))+4)*$J$16*E25),((ROUNDDOWN('Исходные данные'!H25/52,0)*2+4)*$J$16*E25)),0)</f>
        <v>0</v>
      </c>
    </row>
    <row r="26" spans="2:16" ht="15.75">
      <c r="B26" s="57" t="str">
        <f>IF('Исходные данные'!V26=1,"Сетка",IF('Исходные данные'!U26=2,"решетка жалюзийная","---"))</f>
        <v>---</v>
      </c>
      <c r="C26" s="71">
        <f>IF('Исходные данные'!V26=1,'Исходные данные'!G26,IF('Исходные данные'!U26=2,'Исходные данные'!G26,0))</f>
        <v>0</v>
      </c>
      <c r="D26" s="71">
        <f>IF('Исходные данные'!V26=1,'Исходные данные'!H26,IF('Исходные данные'!U26=2,'Исходные данные'!H26,0))</f>
        <v>0</v>
      </c>
      <c r="E26" s="71">
        <f>IF('Исходные данные'!V26=1,'Исходные данные'!S26,IF('Исходные данные'!U26=2,'Исходные данные'!S26,0))</f>
        <v>0</v>
      </c>
      <c r="F26" s="4"/>
      <c r="G26" s="4"/>
      <c r="H26" s="4"/>
      <c r="I26" s="4"/>
      <c r="J26">
        <f>IF('Исходные данные'!U26=2,IF('Исходные данные'!G26&lt;=1000,(((ROUNDDOWN('Исходные данные'!H26/52,0))+4)*$J$16*E26),((ROUNDDOWN('Исходные данные'!H26/52,0)*2+4)*$J$16*E26)),0)</f>
        <v>0</v>
      </c>
    </row>
    <row r="27" spans="2:16" ht="15.75">
      <c r="B27" s="57" t="str">
        <f>IF('Исходные данные'!V27=1,"Сетка",IF('Исходные данные'!U27=2,"решетка жалюзийная","---"))</f>
        <v>---</v>
      </c>
      <c r="C27" s="71">
        <f>IF('Исходные данные'!V27=1,'Исходные данные'!G27,IF('Исходные данные'!U27=2,'Исходные данные'!G27,0))</f>
        <v>0</v>
      </c>
      <c r="D27" s="71">
        <f>IF('Исходные данные'!V27=1,'Исходные данные'!H27,IF('Исходные данные'!U27=2,'Исходные данные'!H27,0))</f>
        <v>0</v>
      </c>
      <c r="E27" s="71">
        <f>IF('Исходные данные'!V27=1,'Исходные данные'!S27,IF('Исходные данные'!U27=2,'Исходные данные'!S27,0))</f>
        <v>0</v>
      </c>
      <c r="F27" s="4"/>
      <c r="G27" s="4"/>
      <c r="H27" s="4"/>
      <c r="I27" s="4"/>
      <c r="J27">
        <f>IF('Исходные данные'!U27=2,IF('Исходные данные'!G27&lt;=1000,(((ROUNDDOWN('Исходные данные'!H27/52,0))+4)*$J$16*E27),((ROUNDDOWN('Исходные данные'!H27/52,0)*2+4)*$J$16*E27)),0)</f>
        <v>0</v>
      </c>
    </row>
    <row r="28" spans="2:16" ht="15.75">
      <c r="B28" s="57" t="str">
        <f>IF('Исходные данные'!V28=1,"Сетка",IF('Исходные данные'!U28=2,"решетка жалюзийная","---"))</f>
        <v>---</v>
      </c>
      <c r="C28" s="71">
        <f>IF('Исходные данные'!V28=1,'Исходные данные'!G28,IF('Исходные данные'!U28=2,'Исходные данные'!G28,0))</f>
        <v>0</v>
      </c>
      <c r="D28" s="71">
        <f>IF('Исходные данные'!V28=1,'Исходные данные'!H28,IF('Исходные данные'!U28=2,'Исходные данные'!H28,0))</f>
        <v>0</v>
      </c>
      <c r="E28" s="71">
        <f>IF('Исходные данные'!V28=1,'Исходные данные'!S28,IF('Исходные данные'!U28=2,'Исходные данные'!S28,0))</f>
        <v>0</v>
      </c>
      <c r="F28" s="4"/>
      <c r="G28" s="4"/>
      <c r="H28" s="4"/>
      <c r="I28" s="4"/>
      <c r="J28">
        <f>IF('Исходные данные'!U28=2,IF('Исходные данные'!G28&lt;=1000,(((ROUNDDOWN('Исходные данные'!H28/52,0))+4)*$J$16*E28),((ROUNDDOWN('Исходные данные'!H28/52,0)*2+4)*$J$16*E28)),0)</f>
        <v>0</v>
      </c>
    </row>
    <row r="29" spans="2:16" ht="15.75">
      <c r="B29" s="57" t="str">
        <f>IF('Исходные данные'!V29=1,"Сетка",IF('Исходные данные'!U29=2,"решетка жалюзийная","---"))</f>
        <v>---</v>
      </c>
      <c r="C29" s="71">
        <f>IF('Исходные данные'!V29=1,'Исходные данные'!G29,IF('Исходные данные'!U29=2,'Исходные данные'!G29,0))</f>
        <v>0</v>
      </c>
      <c r="D29" s="71">
        <f>IF('Исходные данные'!V29=1,'Исходные данные'!H29,IF('Исходные данные'!U29=2,'Исходные данные'!H29,0))</f>
        <v>0</v>
      </c>
      <c r="E29" s="71">
        <f>IF('Исходные данные'!V29=1,'Исходные данные'!S29,IF('Исходные данные'!U29=2,'Исходные данные'!S29,0))</f>
        <v>0</v>
      </c>
      <c r="F29" s="4"/>
      <c r="G29" s="4"/>
      <c r="H29" s="4"/>
      <c r="I29" s="4"/>
      <c r="J29">
        <f>IF('Исходные данные'!U29=2,IF('Исходные данные'!G29&lt;=1000,(((ROUNDDOWN('Исходные данные'!H29/52,0))+4)*$J$16*E29),((ROUNDDOWN('Исходные данные'!H29/52,0)*2+4)*$J$16*E29)),0)</f>
        <v>0</v>
      </c>
    </row>
    <row r="30" spans="2:16" ht="15.75">
      <c r="B30" s="57" t="str">
        <f>IF('Исходные данные'!V30=1,"Сетка",IF('Исходные данные'!U30=2,"решетка жалюзийная","---"))</f>
        <v>---</v>
      </c>
      <c r="C30" s="71">
        <f>IF('Исходные данные'!V30=1,'Исходные данные'!G30,IF('Исходные данные'!U30=2,'Исходные данные'!G30,0))</f>
        <v>0</v>
      </c>
      <c r="D30" s="71">
        <f>IF('Исходные данные'!V30=1,'Исходные данные'!H30,IF('Исходные данные'!U30=2,'Исходные данные'!H30,0))</f>
        <v>0</v>
      </c>
      <c r="E30" s="71">
        <f>IF('Исходные данные'!V30=1,'Исходные данные'!S30,IF('Исходные данные'!U30=2,'Исходные данные'!S30,0))</f>
        <v>0</v>
      </c>
      <c r="F30" s="4"/>
      <c r="G30" s="4"/>
      <c r="H30" s="4"/>
      <c r="I30" s="4"/>
      <c r="J30">
        <f>IF('Исходные данные'!U30=2,IF('Исходные данные'!G30&lt;=1000,(((ROUNDDOWN('Исходные данные'!H30/52,0))+4)*$J$16*E30),((ROUNDDOWN('Исходные данные'!H30/52,0)*2+4)*$J$16*E30)),0)</f>
        <v>0</v>
      </c>
    </row>
    <row r="31" spans="2:16" ht="15.75">
      <c r="B31" s="57" t="str">
        <f>IF('Исходные данные'!V31=1,"Сетка",IF('Исходные данные'!U31=2,"решетка жалюзийная","---"))</f>
        <v>---</v>
      </c>
      <c r="C31" s="71">
        <f>IF('Исходные данные'!V31=1,'Исходные данные'!G31,IF('Исходные данные'!U31=2,'Исходные данные'!G31,0))</f>
        <v>0</v>
      </c>
      <c r="D31" s="71">
        <f>IF('Исходные данные'!V31=1,'Исходные данные'!H31,IF('Исходные данные'!U31=2,'Исходные данные'!H31,0))</f>
        <v>0</v>
      </c>
      <c r="E31" s="71">
        <f>IF('Исходные данные'!V31=1,'Исходные данные'!S31,IF('Исходные данные'!U31=2,'Исходные данные'!S31,0))</f>
        <v>0</v>
      </c>
      <c r="F31" s="4"/>
      <c r="G31" s="4"/>
      <c r="H31" s="4"/>
      <c r="I31" s="4"/>
      <c r="J31">
        <f>IF('Исходные данные'!U31=2,IF('Исходные данные'!G31&lt;=1000,(((ROUNDDOWN('Исходные данные'!H31/52,0))+4)*$J$16*E31),((ROUNDDOWN('Исходные данные'!H31/52,0)*2+4)*$J$16*E31)),0)</f>
        <v>0</v>
      </c>
    </row>
    <row r="33" spans="1:12">
      <c r="B33" s="21"/>
      <c r="C33" s="21" t="s">
        <v>71</v>
      </c>
      <c r="D33" s="21" t="s">
        <v>72</v>
      </c>
    </row>
    <row r="34" spans="1:12">
      <c r="B34" s="21"/>
      <c r="C34" s="21"/>
      <c r="D34" s="21"/>
    </row>
    <row r="35" spans="1:12">
      <c r="C35" t="s">
        <v>13</v>
      </c>
      <c r="D35" t="s">
        <v>72</v>
      </c>
      <c r="F35" s="101">
        <v>0</v>
      </c>
    </row>
    <row r="36" spans="1:12" ht="21">
      <c r="A36" s="21"/>
      <c r="B36" s="48" t="s">
        <v>64</v>
      </c>
      <c r="C36" s="48"/>
      <c r="D36" s="48"/>
      <c r="E36" s="48"/>
      <c r="F36" s="48"/>
      <c r="G36" s="48"/>
      <c r="H36" s="48"/>
      <c r="I36" s="48"/>
      <c r="J36" s="21"/>
      <c r="K36" s="21"/>
      <c r="L36" s="21"/>
    </row>
    <row r="37" spans="1:12" ht="18.75">
      <c r="A37" s="21"/>
      <c r="B37" s="42" t="s">
        <v>73</v>
      </c>
      <c r="C37" s="42"/>
      <c r="D37" s="42"/>
      <c r="E37" s="42">
        <f>'Исходные данные'!H13</f>
        <v>2222</v>
      </c>
      <c r="F37" s="42"/>
      <c r="G37" s="42"/>
      <c r="H37" s="42"/>
      <c r="I37" s="42"/>
      <c r="J37" s="21"/>
      <c r="K37" s="21"/>
      <c r="L37" s="21"/>
    </row>
    <row r="38" spans="1:12">
      <c r="A38" s="21"/>
      <c r="B38" s="21" t="s">
        <v>77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2">
      <c r="A39" s="21"/>
      <c r="B39" s="21" t="s">
        <v>65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1:1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pans="1:12">
      <c r="A41" s="21"/>
      <c r="B41" s="92" t="s">
        <v>40</v>
      </c>
      <c r="C41" s="21" t="s">
        <v>45</v>
      </c>
      <c r="D41" s="21"/>
      <c r="E41" s="21"/>
      <c r="F41" s="21" t="s">
        <v>130</v>
      </c>
      <c r="G41" s="21"/>
      <c r="H41" s="21"/>
      <c r="I41" s="21"/>
      <c r="J41" s="21"/>
      <c r="K41" s="21"/>
      <c r="L41" s="21"/>
    </row>
    <row r="42" spans="1:12">
      <c r="A42" s="21"/>
      <c r="B42" s="92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12">
      <c r="A43" s="21"/>
      <c r="B43" s="92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1:12">
      <c r="A44" s="21"/>
      <c r="B44" s="92" t="s">
        <v>129</v>
      </c>
      <c r="C44" s="21" t="s">
        <v>45</v>
      </c>
      <c r="D44" s="21"/>
      <c r="E44" s="21"/>
      <c r="F44" s="21" t="s">
        <v>130</v>
      </c>
      <c r="G44" s="21"/>
      <c r="H44" s="21"/>
      <c r="I44" s="21"/>
      <c r="J44" s="21"/>
      <c r="K44" s="21"/>
      <c r="L44" s="21"/>
    </row>
    <row r="45" spans="1:1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</sheetData>
  <pageMargins left="7.874015748031496E-2" right="7.874015748031496E-2" top="0.74803149606299213" bottom="0.74803149606299213" header="0.31496062992125984" footer="0.31496062992125984"/>
  <pageSetup paperSize="9" scale="7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5:R45"/>
  <sheetViews>
    <sheetView workbookViewId="0">
      <selection activeCell="A4" sqref="A4:L46"/>
    </sheetView>
  </sheetViews>
  <sheetFormatPr defaultRowHeight="15"/>
  <cols>
    <col min="2" max="2" width="15.28515625" customWidth="1"/>
    <col min="4" max="4" width="7" customWidth="1"/>
    <col min="5" max="5" width="5.85546875" customWidth="1"/>
    <col min="6" max="6" width="12.140625" customWidth="1"/>
    <col min="7" max="7" width="7.7109375" customWidth="1"/>
    <col min="8" max="8" width="8.5703125" customWidth="1"/>
    <col min="9" max="9" width="14.7109375" customWidth="1"/>
    <col min="10" max="10" width="11.140625" customWidth="1"/>
    <col min="11" max="11" width="12.28515625" customWidth="1"/>
    <col min="12" max="12" width="12.7109375" customWidth="1"/>
    <col min="13" max="14" width="7.7109375" customWidth="1"/>
  </cols>
  <sheetData>
    <row r="5" spans="1:18" ht="21">
      <c r="B5" s="34" t="str">
        <f>'Исходные данные'!B13</f>
        <v>Сопроводительный лист</v>
      </c>
      <c r="C5" s="34"/>
      <c r="D5" s="34"/>
      <c r="F5" s="34">
        <f>'Исходные данные'!H13</f>
        <v>2222</v>
      </c>
    </row>
    <row r="7" spans="1:18" ht="21">
      <c r="B7" s="12" t="s">
        <v>142</v>
      </c>
      <c r="C7" s="13"/>
    </row>
    <row r="8" spans="1:18" ht="51" customHeight="1">
      <c r="A8" s="369" t="s">
        <v>8</v>
      </c>
      <c r="B8" s="369" t="s">
        <v>14</v>
      </c>
      <c r="C8" s="7" t="s">
        <v>18</v>
      </c>
      <c r="D8" s="372" t="s">
        <v>4</v>
      </c>
      <c r="E8" s="372" t="s">
        <v>5</v>
      </c>
      <c r="F8" s="357" t="s">
        <v>2</v>
      </c>
      <c r="G8" s="371" t="s">
        <v>15</v>
      </c>
      <c r="H8" s="371"/>
      <c r="I8" s="374" t="s">
        <v>125</v>
      </c>
      <c r="J8" s="374" t="s">
        <v>126</v>
      </c>
      <c r="K8" s="374" t="s">
        <v>127</v>
      </c>
      <c r="L8" s="374" t="s">
        <v>126</v>
      </c>
      <c r="R8" s="74"/>
    </row>
    <row r="9" spans="1:18" ht="31.5" customHeight="1">
      <c r="A9" s="370"/>
      <c r="B9" s="370"/>
      <c r="C9" s="19" t="s">
        <v>23</v>
      </c>
      <c r="D9" s="373"/>
      <c r="E9" s="373"/>
      <c r="F9" s="358"/>
      <c r="G9" s="9" t="s">
        <v>16</v>
      </c>
      <c r="H9" s="9" t="s">
        <v>17</v>
      </c>
      <c r="I9" s="375"/>
      <c r="J9" s="375"/>
      <c r="K9" s="375"/>
      <c r="L9" s="375"/>
      <c r="M9" s="10" t="s">
        <v>10</v>
      </c>
      <c r="N9" s="10" t="s">
        <v>11</v>
      </c>
      <c r="O9" s="3" t="s">
        <v>12</v>
      </c>
      <c r="P9" s="3" t="s">
        <v>13</v>
      </c>
      <c r="R9" s="74"/>
    </row>
    <row r="10" spans="1:18" s="3" customFormat="1">
      <c r="A10" s="9">
        <f>'Исходные данные'!B17</f>
        <v>0</v>
      </c>
      <c r="B10" s="93" t="s">
        <v>135</v>
      </c>
      <c r="C10" s="9">
        <v>599</v>
      </c>
      <c r="D10" s="9">
        <v>42.7</v>
      </c>
      <c r="E10" s="9">
        <v>1</v>
      </c>
      <c r="F10" s="9">
        <f>'Исходные данные'!S17</f>
        <v>0</v>
      </c>
      <c r="G10" s="9">
        <v>15</v>
      </c>
      <c r="H10" s="9">
        <v>9.6999999999999993</v>
      </c>
      <c r="I10" s="85"/>
      <c r="J10" s="85"/>
      <c r="K10" s="85"/>
      <c r="L10" s="85"/>
      <c r="M10" s="10">
        <f>IF(C10&lt;500,0.008*F10,IF(C10&lt;1500,0.014*F10,IF(C10&lt;5000,0.022*F10,IF(C10&lt;2500,0.048*F10,0))))</f>
        <v>0</v>
      </c>
      <c r="N10" s="10">
        <f>F10*0.004*2</f>
        <v>0</v>
      </c>
      <c r="O10" s="3">
        <f>N10+M10</f>
        <v>0</v>
      </c>
      <c r="P10" s="3">
        <f>0.008*F10</f>
        <v>0</v>
      </c>
    </row>
    <row r="11" spans="1:18" s="3" customFormat="1">
      <c r="A11" s="25">
        <f>'Исходные данные'!B18</f>
        <v>0</v>
      </c>
      <c r="B11" s="95" t="s">
        <v>135</v>
      </c>
      <c r="C11" s="75">
        <v>599</v>
      </c>
      <c r="D11" s="95">
        <v>42.7</v>
      </c>
      <c r="E11" s="25">
        <v>1</v>
      </c>
      <c r="F11" s="9">
        <f>'Исходные данные'!S18</f>
        <v>0</v>
      </c>
      <c r="G11" s="66">
        <f>IF('Исходные данные'!F18=3,15,IF('Исходные данные'!F18=1,12,0))</f>
        <v>0</v>
      </c>
      <c r="H11" s="95">
        <v>9.6999999999999993</v>
      </c>
      <c r="I11" s="85"/>
      <c r="J11" s="85"/>
      <c r="K11" s="85"/>
      <c r="L11" s="85"/>
      <c r="M11" s="10">
        <f t="shared" ref="M11:M24" si="0">IF(C11&lt;500,0.008*F11,IF(C11&lt;1500,0.014*F11,IF(C11&lt;5000,0.022*F11,IF(C11&lt;2500,0.048*F11,0))))</f>
        <v>0</v>
      </c>
      <c r="N11" s="10">
        <f t="shared" ref="N11:N24" si="1">F11*0.004</f>
        <v>0</v>
      </c>
      <c r="O11" s="3">
        <f t="shared" ref="O11:O24" si="2">N11+M11</f>
        <v>0</v>
      </c>
      <c r="P11" s="3">
        <f t="shared" ref="P11:P24" si="3">0.008*F11</f>
        <v>0</v>
      </c>
      <c r="R11" s="69"/>
    </row>
    <row r="12" spans="1:18" s="3" customFormat="1">
      <c r="A12" s="25">
        <f>'Исходные данные'!B19</f>
        <v>0</v>
      </c>
      <c r="B12" s="97" t="s">
        <v>135</v>
      </c>
      <c r="C12" s="75">
        <v>499</v>
      </c>
      <c r="D12" s="97">
        <v>42.7</v>
      </c>
      <c r="E12" s="97">
        <v>1</v>
      </c>
      <c r="F12" s="9">
        <f>'Исходные данные'!S19</f>
        <v>0</v>
      </c>
      <c r="G12" s="97">
        <f>IF('Исходные данные'!F19=3,15,IF('Исходные данные'!F19=1,12,0))</f>
        <v>0</v>
      </c>
      <c r="H12" s="97">
        <v>9.6999999999999993</v>
      </c>
      <c r="I12" s="85"/>
      <c r="J12" s="85"/>
      <c r="K12" s="85"/>
      <c r="L12" s="85"/>
      <c r="M12" s="10">
        <f t="shared" si="0"/>
        <v>0</v>
      </c>
      <c r="N12" s="10">
        <f t="shared" si="1"/>
        <v>0</v>
      </c>
      <c r="O12" s="3">
        <f t="shared" si="2"/>
        <v>0</v>
      </c>
      <c r="P12" s="3">
        <f t="shared" si="3"/>
        <v>0</v>
      </c>
      <c r="R12" s="69"/>
    </row>
    <row r="13" spans="1:18" s="3" customFormat="1">
      <c r="A13" s="25">
        <f>'Исходные данные'!B20</f>
        <v>0</v>
      </c>
      <c r="B13" s="97" t="s">
        <v>135</v>
      </c>
      <c r="C13" s="75">
        <v>699</v>
      </c>
      <c r="D13" s="97">
        <v>42.7</v>
      </c>
      <c r="E13" s="97">
        <v>1</v>
      </c>
      <c r="F13" s="9">
        <f>'Исходные данные'!S20</f>
        <v>0</v>
      </c>
      <c r="G13" s="97">
        <f>IF('Исходные данные'!F20=3,15,IF('Исходные данные'!F20=1,12,0))</f>
        <v>0</v>
      </c>
      <c r="H13" s="97">
        <v>9.6999999999999993</v>
      </c>
      <c r="I13" s="85"/>
      <c r="J13" s="85"/>
      <c r="K13" s="85"/>
      <c r="L13" s="85"/>
      <c r="M13" s="10">
        <f t="shared" si="0"/>
        <v>0</v>
      </c>
      <c r="N13" s="10">
        <f t="shared" si="1"/>
        <v>0</v>
      </c>
      <c r="O13" s="3">
        <f t="shared" si="2"/>
        <v>0</v>
      </c>
      <c r="P13" s="3">
        <f t="shared" si="3"/>
        <v>0</v>
      </c>
      <c r="R13" s="69"/>
    </row>
    <row r="14" spans="1:18" s="3" customFormat="1">
      <c r="A14" s="25">
        <f>'Исходные данные'!B21</f>
        <v>0</v>
      </c>
      <c r="B14" s="97"/>
      <c r="C14" s="75"/>
      <c r="D14" s="97"/>
      <c r="E14" s="97"/>
      <c r="F14" s="9"/>
      <c r="G14" s="97"/>
      <c r="H14" s="97"/>
      <c r="I14" s="85"/>
      <c r="J14" s="85"/>
      <c r="K14" s="85"/>
      <c r="L14" s="85"/>
      <c r="M14" s="10">
        <f t="shared" si="0"/>
        <v>0</v>
      </c>
      <c r="N14" s="10">
        <f t="shared" si="1"/>
        <v>0</v>
      </c>
      <c r="O14" s="3">
        <f t="shared" si="2"/>
        <v>0</v>
      </c>
      <c r="P14" s="3">
        <f t="shared" si="3"/>
        <v>0</v>
      </c>
    </row>
    <row r="15" spans="1:18" s="3" customFormat="1">
      <c r="A15" s="25">
        <f>'Исходные данные'!B22</f>
        <v>0</v>
      </c>
      <c r="B15" s="97"/>
      <c r="C15" s="75"/>
      <c r="D15" s="97"/>
      <c r="E15" s="97"/>
      <c r="F15" s="9"/>
      <c r="G15" s="97"/>
      <c r="H15" s="97"/>
      <c r="I15" s="85"/>
      <c r="J15" s="85"/>
      <c r="K15" s="85"/>
      <c r="L15" s="85"/>
      <c r="M15" s="10">
        <f t="shared" si="0"/>
        <v>0</v>
      </c>
      <c r="N15" s="10">
        <f t="shared" si="1"/>
        <v>0</v>
      </c>
      <c r="O15" s="3">
        <f t="shared" si="2"/>
        <v>0</v>
      </c>
      <c r="P15" s="3">
        <f t="shared" si="3"/>
        <v>0</v>
      </c>
    </row>
    <row r="16" spans="1:18" s="3" customFormat="1">
      <c r="A16" s="25">
        <f>'Исходные данные'!B23</f>
        <v>0</v>
      </c>
      <c r="B16" s="25">
        <f>IF('Исходные данные'!F23=3,"183.00.00.003",IF('Исходные данные'!F23=1,"0148.10.004",0))</f>
        <v>0</v>
      </c>
      <c r="C16" s="75">
        <f>IF(AND('Исходные данные'!F23=3,'Исходные данные'!J23=1),'Исходные данные'!G23-1,IF(AND('Исходные данные'!F23=3,'Исходные данные'!J23=2),'Исходные данные'!G23-3,IF(AND('Исходные данные'!F23=1,'Исходные данные'!J23=1),'Исходные данные'!G23-2,IF(AND('Исходные данные'!F23=1,'Исходные данные'!J23=2),'Исходные данные'!G23-2,0))))</f>
        <v>0</v>
      </c>
      <c r="D16" s="70">
        <f>IF(AND('Исходные данные'!F23=3,'Исходные данные'!J23=1),55,IF(AND('Исходные данные'!F23=3,'Исходные данные'!J23=2),65,IF(AND('Исходные данные'!F23=1,'Исходные данные'!J23=1),52,IF(AND('Исходные данные'!F23=1,'Исходные данные'!J23=2),53,0))))</f>
        <v>0</v>
      </c>
      <c r="E16" s="25">
        <v>0.7</v>
      </c>
      <c r="F16" s="9">
        <f>'Исходные данные'!S23</f>
        <v>0</v>
      </c>
      <c r="G16" s="66">
        <f>IF('Исходные данные'!F23=3,15,IF('Исходные данные'!F23=1,12,0))</f>
        <v>0</v>
      </c>
      <c r="H16" s="66">
        <v>20</v>
      </c>
      <c r="I16" s="85"/>
      <c r="J16" s="85"/>
      <c r="K16" s="85"/>
      <c r="L16" s="85"/>
      <c r="M16" s="10">
        <f t="shared" si="0"/>
        <v>0</v>
      </c>
      <c r="N16" s="10">
        <f t="shared" si="1"/>
        <v>0</v>
      </c>
      <c r="O16" s="3">
        <f t="shared" si="2"/>
        <v>0</v>
      </c>
      <c r="P16" s="3">
        <f t="shared" si="3"/>
        <v>0</v>
      </c>
    </row>
    <row r="17" spans="1:16" s="3" customFormat="1">
      <c r="A17" s="25">
        <f>'Исходные данные'!B24</f>
        <v>0</v>
      </c>
      <c r="B17" s="25">
        <f>IF('Исходные данные'!F24=3,"183.00.00.003",IF('Исходные данные'!F24=1,"0148.10.004",0))</f>
        <v>0</v>
      </c>
      <c r="C17" s="75">
        <f>IF(AND('Исходные данные'!F24=3,'Исходные данные'!J24=1),'Исходные данные'!G24-1,IF(AND('Исходные данные'!F24=3,'Исходные данные'!J24=2),'Исходные данные'!G24-3,IF(AND('Исходные данные'!F24=1,'Исходные данные'!J24=1),'Исходные данные'!G24-2,IF(AND('Исходные данные'!F24=1,'Исходные данные'!J24=2),'Исходные данные'!G24-2,0))))</f>
        <v>0</v>
      </c>
      <c r="D17" s="70">
        <f>IF(AND('Исходные данные'!F24=3,'Исходные данные'!J24=1),55,IF(AND('Исходные данные'!F24=3,'Исходные данные'!J24=2),65,IF(AND('Исходные данные'!F24=1,'Исходные данные'!J24=1),52,IF(AND('Исходные данные'!F24=1,'Исходные данные'!J24=2),53,0))))</f>
        <v>0</v>
      </c>
      <c r="E17" s="25">
        <v>0.7</v>
      </c>
      <c r="F17" s="9">
        <f>'Исходные данные'!S24</f>
        <v>0</v>
      </c>
      <c r="G17" s="66">
        <f>IF('Исходные данные'!F24=3,15,IF('Исходные данные'!F24=1,12,0))</f>
        <v>0</v>
      </c>
      <c r="H17" s="66">
        <v>20</v>
      </c>
      <c r="I17" s="85"/>
      <c r="J17" s="85"/>
      <c r="K17" s="85"/>
      <c r="L17" s="85"/>
      <c r="M17" s="10">
        <f t="shared" si="0"/>
        <v>0</v>
      </c>
      <c r="N17" s="10">
        <f t="shared" si="1"/>
        <v>0</v>
      </c>
      <c r="O17" s="3">
        <f t="shared" si="2"/>
        <v>0</v>
      </c>
      <c r="P17" s="3">
        <f t="shared" si="3"/>
        <v>0</v>
      </c>
    </row>
    <row r="18" spans="1:16" s="3" customFormat="1">
      <c r="A18" s="25">
        <f>'Исходные данные'!B25</f>
        <v>0</v>
      </c>
      <c r="B18" s="25">
        <f>IF('Исходные данные'!F25=3,"183.00.00.003",IF('Исходные данные'!F25=1,"0148.10.004",0))</f>
        <v>0</v>
      </c>
      <c r="C18" s="75">
        <f>IF(AND('Исходные данные'!F25=3,'Исходные данные'!J25=1),'Исходные данные'!G25-1,IF(AND('Исходные данные'!F25=3,'Исходные данные'!J25=2),'Исходные данные'!G25-3,IF(AND('Исходные данные'!F25=1,'Исходные данные'!J25=1),'Исходные данные'!G25-2,IF(AND('Исходные данные'!F25=1,'Исходные данные'!J25=2),'Исходные данные'!G25-2,0))))</f>
        <v>0</v>
      </c>
      <c r="D18" s="70">
        <f>IF(AND('Исходные данные'!F25=3,'Исходные данные'!J25=1),55,IF(AND('Исходные данные'!F25=3,'Исходные данные'!J25=2),65,IF(AND('Исходные данные'!F25=1,'Исходные данные'!J25=1),52,IF(AND('Исходные данные'!F25=1,'Исходные данные'!J25=2),53,0))))</f>
        <v>0</v>
      </c>
      <c r="E18" s="25">
        <v>0.7</v>
      </c>
      <c r="F18" s="9">
        <f>'Исходные данные'!S25</f>
        <v>0</v>
      </c>
      <c r="G18" s="66">
        <f>IF('Исходные данные'!F25=3,15,IF('Исходные данные'!F25=1,12,0))</f>
        <v>0</v>
      </c>
      <c r="H18" s="66">
        <v>20</v>
      </c>
      <c r="I18" s="85"/>
      <c r="J18" s="85"/>
      <c r="K18" s="85"/>
      <c r="L18" s="85"/>
      <c r="M18" s="10">
        <f t="shared" si="0"/>
        <v>0</v>
      </c>
      <c r="N18" s="10">
        <f t="shared" si="1"/>
        <v>0</v>
      </c>
      <c r="O18" s="3">
        <f t="shared" si="2"/>
        <v>0</v>
      </c>
      <c r="P18" s="3">
        <f t="shared" si="3"/>
        <v>0</v>
      </c>
    </row>
    <row r="19" spans="1:16" s="3" customFormat="1">
      <c r="A19" s="25">
        <f>'Исходные данные'!B26</f>
        <v>0</v>
      </c>
      <c r="B19" s="25">
        <f>IF('Исходные данные'!F26=3,"183.00.00.003",IF('Исходные данные'!F26=1,"0148.10.004",0))</f>
        <v>0</v>
      </c>
      <c r="C19" s="75">
        <f>IF(AND('Исходные данные'!F26=3,'Исходные данные'!J26=1),'Исходные данные'!G26-1,IF(AND('Исходные данные'!F26=3,'Исходные данные'!J26=2),'Исходные данные'!G26-3,IF(AND('Исходные данные'!F26=1,'Исходные данные'!J26=1),'Исходные данные'!G26-2,IF(AND('Исходные данные'!F26=1,'Исходные данные'!J26=2),'Исходные данные'!G26-2,0))))</f>
        <v>0</v>
      </c>
      <c r="D19" s="70">
        <f>IF(AND('Исходные данные'!F26=3,'Исходные данные'!J26=1),55,IF(AND('Исходные данные'!F26=3,'Исходные данные'!J26=2),65,IF(AND('Исходные данные'!F26=1,'Исходные данные'!J26=1),52,IF(AND('Исходные данные'!F26=1,'Исходные данные'!J26=2),53,0))))</f>
        <v>0</v>
      </c>
      <c r="E19" s="25">
        <v>0.7</v>
      </c>
      <c r="F19" s="9">
        <f>'Исходные данные'!S26</f>
        <v>0</v>
      </c>
      <c r="G19" s="66">
        <f>IF('Исходные данные'!F26=3,15,IF('Исходные данные'!F26=1,12,0))</f>
        <v>0</v>
      </c>
      <c r="H19" s="66">
        <v>20</v>
      </c>
      <c r="I19" s="85"/>
      <c r="J19" s="85"/>
      <c r="K19" s="85"/>
      <c r="L19" s="85"/>
      <c r="M19" s="10">
        <f t="shared" si="0"/>
        <v>0</v>
      </c>
      <c r="N19" s="10">
        <f t="shared" si="1"/>
        <v>0</v>
      </c>
      <c r="O19" s="3">
        <f t="shared" si="2"/>
        <v>0</v>
      </c>
      <c r="P19" s="3">
        <f t="shared" si="3"/>
        <v>0</v>
      </c>
    </row>
    <row r="20" spans="1:16" s="3" customFormat="1">
      <c r="A20" s="25">
        <f>'Исходные данные'!B27</f>
        <v>0</v>
      </c>
      <c r="B20" s="25">
        <f>IF('Исходные данные'!F27=3,"183.00.00.003",IF('Исходные данные'!F27=1,"0148.10.004",0))</f>
        <v>0</v>
      </c>
      <c r="C20" s="75">
        <f>IF(AND('Исходные данные'!F27=3,'Исходные данные'!J27=1),'Исходные данные'!G27-1,IF(AND('Исходные данные'!F27=3,'Исходные данные'!J27=2),'Исходные данные'!G27-3,IF(AND('Исходные данные'!F27=1,'Исходные данные'!J27=1),'Исходные данные'!G27-2,IF(AND('Исходные данные'!F27=1,'Исходные данные'!J27=2),'Исходные данные'!G27-2,0))))</f>
        <v>0</v>
      </c>
      <c r="D20" s="70">
        <f>IF(AND('Исходные данные'!F27=3,'Исходные данные'!J27=1),55,IF(AND('Исходные данные'!F27=3,'Исходные данные'!J27=2),65,IF(AND('Исходные данные'!F27=1,'Исходные данные'!J27=1),52,IF(AND('Исходные данные'!F27=1,'Исходные данные'!J27=2),53,0))))</f>
        <v>0</v>
      </c>
      <c r="E20" s="25">
        <v>0.7</v>
      </c>
      <c r="F20" s="9">
        <f>'Исходные данные'!S27</f>
        <v>0</v>
      </c>
      <c r="G20" s="66">
        <f>IF('Исходные данные'!F27=3,15,IF('Исходные данные'!F27=1,12,0))</f>
        <v>0</v>
      </c>
      <c r="H20" s="66">
        <v>20</v>
      </c>
      <c r="I20" s="85"/>
      <c r="J20" s="85"/>
      <c r="K20" s="85"/>
      <c r="L20" s="85"/>
      <c r="M20" s="10">
        <f t="shared" si="0"/>
        <v>0</v>
      </c>
      <c r="N20" s="10">
        <f t="shared" si="1"/>
        <v>0</v>
      </c>
      <c r="O20" s="3">
        <f t="shared" si="2"/>
        <v>0</v>
      </c>
      <c r="P20" s="3">
        <f t="shared" si="3"/>
        <v>0</v>
      </c>
    </row>
    <row r="21" spans="1:16" s="3" customFormat="1">
      <c r="A21" s="25">
        <f>'Исходные данные'!B28</f>
        <v>0</v>
      </c>
      <c r="B21" s="25">
        <f>IF('Исходные данные'!F28=3,"183.00.00.003",IF('Исходные данные'!F28=1,"0148.10.004",0))</f>
        <v>0</v>
      </c>
      <c r="C21" s="75">
        <f>IF(AND('Исходные данные'!F28=3,'Исходные данные'!J28=1),'Исходные данные'!G28-1,IF(AND('Исходные данные'!F28=3,'Исходные данные'!J28=2),'Исходные данные'!G28-3,IF(AND('Исходные данные'!F28=1,'Исходные данные'!J28=1),'Исходные данные'!G28-2,IF(AND('Исходные данные'!F28=1,'Исходные данные'!J28=2),'Исходные данные'!G28-2,0))))</f>
        <v>0</v>
      </c>
      <c r="D21" s="70">
        <f>IF(AND('Исходные данные'!F28=3,'Исходные данные'!J28=1),55,IF(AND('Исходные данные'!F28=3,'Исходные данные'!J28=2),65,IF(AND('Исходные данные'!F28=1,'Исходные данные'!J28=1),52,IF(AND('Исходные данные'!F28=1,'Исходные данные'!J28=2),53,0))))</f>
        <v>0</v>
      </c>
      <c r="E21" s="25">
        <v>0.7</v>
      </c>
      <c r="F21" s="9">
        <f>'Исходные данные'!S28</f>
        <v>0</v>
      </c>
      <c r="G21" s="66">
        <f>IF('Исходные данные'!F28=3,15,IF('Исходные данные'!F28=1,12,0))</f>
        <v>0</v>
      </c>
      <c r="H21" s="66">
        <v>20</v>
      </c>
      <c r="I21" s="85"/>
      <c r="J21" s="85"/>
      <c r="K21" s="85"/>
      <c r="L21" s="85"/>
      <c r="M21" s="10">
        <f t="shared" si="0"/>
        <v>0</v>
      </c>
      <c r="N21" s="10">
        <f t="shared" si="1"/>
        <v>0</v>
      </c>
      <c r="O21" s="3">
        <f t="shared" si="2"/>
        <v>0</v>
      </c>
      <c r="P21" s="3">
        <f t="shared" si="3"/>
        <v>0</v>
      </c>
    </row>
    <row r="22" spans="1:16" s="3" customFormat="1">
      <c r="A22" s="25">
        <f>'Исходные данные'!B29</f>
        <v>0</v>
      </c>
      <c r="B22" s="25">
        <f>IF('Исходные данные'!F29=3,"183.00.00.003",IF('Исходные данные'!F29=1,"0148.10.004",0))</f>
        <v>0</v>
      </c>
      <c r="C22" s="75">
        <f>IF(AND('Исходные данные'!F29=3,'Исходные данные'!J29=1),'Исходные данные'!G29-1,IF(AND('Исходные данные'!F29=3,'Исходные данные'!J29=2),'Исходные данные'!G29-3,IF(AND('Исходные данные'!F29=1,'Исходные данные'!J29=1),'Исходные данные'!G29-2,IF(AND('Исходные данные'!F29=1,'Исходные данные'!J29=2),'Исходные данные'!G29-2,0))))</f>
        <v>0</v>
      </c>
      <c r="D22" s="70">
        <f>IF(AND('Исходные данные'!F29=3,'Исходные данные'!J29=1),55,IF(AND('Исходные данные'!F29=3,'Исходные данные'!J29=2),65,IF(AND('Исходные данные'!F29=1,'Исходные данные'!J29=1),52,IF(AND('Исходные данные'!F29=1,'Исходные данные'!J29=2),53,0))))</f>
        <v>0</v>
      </c>
      <c r="E22" s="25">
        <v>0.7</v>
      </c>
      <c r="F22" s="9">
        <f>'Исходные данные'!S29</f>
        <v>0</v>
      </c>
      <c r="G22" s="66">
        <f>IF('Исходные данные'!F29=3,15,IF('Исходные данные'!F29=1,12,0))</f>
        <v>0</v>
      </c>
      <c r="H22" s="66">
        <v>20</v>
      </c>
      <c r="I22" s="85"/>
      <c r="J22" s="85"/>
      <c r="K22" s="85"/>
      <c r="L22" s="85"/>
      <c r="M22" s="10">
        <f t="shared" si="0"/>
        <v>0</v>
      </c>
      <c r="N22" s="10">
        <f t="shared" si="1"/>
        <v>0</v>
      </c>
      <c r="O22" s="3">
        <f t="shared" si="2"/>
        <v>0</v>
      </c>
      <c r="P22" s="3">
        <f t="shared" si="3"/>
        <v>0</v>
      </c>
    </row>
    <row r="23" spans="1:16" s="3" customFormat="1">
      <c r="A23" s="25">
        <f>'Исходные данные'!B30</f>
        <v>0</v>
      </c>
      <c r="B23" s="25">
        <f>IF('Исходные данные'!F30=3,"183.00.00.003",IF('Исходные данные'!F30=1,"0148.10.004",0))</f>
        <v>0</v>
      </c>
      <c r="C23" s="75">
        <f>IF(AND('Исходные данные'!F30=3,'Исходные данные'!J30=1),'Исходные данные'!G30-1,IF(AND('Исходные данные'!F30=3,'Исходные данные'!J30=2),'Исходные данные'!G30-3,IF(AND('Исходные данные'!F30=1,'Исходные данные'!J30=1),'Исходные данные'!G30-2,IF(AND('Исходные данные'!F30=1,'Исходные данные'!J30=2),'Исходные данные'!G30-2,0))))</f>
        <v>0</v>
      </c>
      <c r="D23" s="70">
        <f>IF(AND('Исходные данные'!F30=3,'Исходные данные'!J30=1),55,IF(AND('Исходные данные'!F30=3,'Исходные данные'!J30=2),65,IF(AND('Исходные данные'!F30=1,'Исходные данные'!J30=1),52,IF(AND('Исходные данные'!F30=1,'Исходные данные'!J30=2),53,0))))</f>
        <v>0</v>
      </c>
      <c r="E23" s="25">
        <v>0.7</v>
      </c>
      <c r="F23" s="9">
        <f>'Исходные данные'!S31</f>
        <v>0</v>
      </c>
      <c r="G23" s="66">
        <f>IF('Исходные данные'!F30=3,15,IF('Исходные данные'!F30=1,12,0))</f>
        <v>0</v>
      </c>
      <c r="H23" s="66">
        <v>20</v>
      </c>
      <c r="I23" s="85"/>
      <c r="J23" s="85"/>
      <c r="K23" s="85"/>
      <c r="L23" s="85"/>
      <c r="M23" s="10">
        <f t="shared" si="0"/>
        <v>0</v>
      </c>
      <c r="N23" s="10">
        <f t="shared" si="1"/>
        <v>0</v>
      </c>
      <c r="O23" s="3">
        <f t="shared" si="2"/>
        <v>0</v>
      </c>
      <c r="P23" s="3">
        <f t="shared" si="3"/>
        <v>0</v>
      </c>
    </row>
    <row r="24" spans="1:16" s="3" customFormat="1">
      <c r="A24" s="25">
        <f>'Исходные данные'!B31</f>
        <v>0</v>
      </c>
      <c r="B24" s="25">
        <f>IF('Исходные данные'!F31=3,"183.00.00.003",IF('Исходные данные'!F31=1,"0148.10.004",0))</f>
        <v>0</v>
      </c>
      <c r="C24" s="75">
        <f>IF(AND('Исходные данные'!F31=3,'Исходные данные'!J31=1),'Исходные данные'!G31-1,IF(AND('Исходные данные'!F31=3,'Исходные данные'!J31=2),'Исходные данные'!G31-3,IF(AND('Исходные данные'!F31=1,'Исходные данные'!J31=1),'Исходные данные'!G31-2,IF(AND('Исходные данные'!F31=1,'Исходные данные'!J31=2),'Исходные данные'!G31-2,0))))</f>
        <v>0</v>
      </c>
      <c r="D24" s="70">
        <f>IF(AND('Исходные данные'!F31=3,'Исходные данные'!J31=1),55,IF(AND('Исходные данные'!F31=3,'Исходные данные'!J31=2),65,IF(AND('Исходные данные'!F31=1,'Исходные данные'!J31=1),52,IF(AND('Исходные данные'!F31=1,'Исходные данные'!J31=2),53,0))))</f>
        <v>0</v>
      </c>
      <c r="E24" s="25">
        <v>0.7</v>
      </c>
      <c r="F24" s="9">
        <f>'Исходные данные'!S39</f>
        <v>0</v>
      </c>
      <c r="G24" s="66">
        <f>IF('Исходные данные'!F31=3,15,IF('Исходные данные'!F31=1,12,0))</f>
        <v>0</v>
      </c>
      <c r="H24" s="66">
        <v>20</v>
      </c>
      <c r="I24" s="85"/>
      <c r="J24" s="85"/>
      <c r="K24" s="85"/>
      <c r="L24" s="85"/>
      <c r="M24" s="10">
        <f t="shared" si="0"/>
        <v>0</v>
      </c>
      <c r="N24" s="10">
        <f t="shared" si="1"/>
        <v>0</v>
      </c>
      <c r="O24" s="3">
        <f t="shared" si="2"/>
        <v>0</v>
      </c>
      <c r="P24" s="3">
        <f t="shared" si="3"/>
        <v>0</v>
      </c>
    </row>
    <row r="25" spans="1:16" s="3" customFormat="1">
      <c r="I25" s="84"/>
      <c r="J25" s="84"/>
      <c r="K25" s="84"/>
      <c r="L25" s="84"/>
      <c r="O25" s="3">
        <f>SUM(O10:O24)</f>
        <v>0</v>
      </c>
      <c r="P25" s="3">
        <f>SUM(P10:P24)</f>
        <v>0</v>
      </c>
    </row>
    <row r="26" spans="1:16" s="3" customFormat="1">
      <c r="I26" s="84"/>
      <c r="J26" s="84"/>
      <c r="K26" s="84"/>
      <c r="L26" s="84"/>
    </row>
    <row r="27" spans="1:16" s="3" customFormat="1">
      <c r="A27" s="3" t="s">
        <v>40</v>
      </c>
      <c r="B27" s="3" t="s">
        <v>41</v>
      </c>
      <c r="C27" s="368" t="s">
        <v>42</v>
      </c>
      <c r="D27" s="368"/>
      <c r="E27" s="368"/>
      <c r="G27" s="30"/>
      <c r="H27" s="3" t="s">
        <v>43</v>
      </c>
      <c r="I27" s="84"/>
      <c r="J27" s="84"/>
      <c r="K27" s="84"/>
      <c r="L27" s="84"/>
    </row>
    <row r="28" spans="1:16" s="3" customFormat="1">
      <c r="F28" s="37" t="s">
        <v>57</v>
      </c>
      <c r="G28" s="30"/>
      <c r="I28" s="84"/>
      <c r="J28" s="84"/>
      <c r="K28" s="84"/>
      <c r="L28" s="84"/>
    </row>
    <row r="29" spans="1:16" s="3" customFormat="1">
      <c r="G29" s="30"/>
      <c r="I29" s="84"/>
      <c r="J29" s="84"/>
      <c r="K29" s="84"/>
      <c r="L29" s="84"/>
    </row>
    <row r="30" spans="1:16">
      <c r="A30" s="3" t="s">
        <v>13</v>
      </c>
      <c r="B30" s="3" t="s">
        <v>41</v>
      </c>
      <c r="C30" s="368" t="s">
        <v>42</v>
      </c>
      <c r="D30" s="368"/>
      <c r="E30" s="368"/>
      <c r="G30" s="105">
        <f>P25</f>
        <v>0</v>
      </c>
      <c r="H30" s="23" t="s">
        <v>43</v>
      </c>
      <c r="I30" s="88"/>
      <c r="J30" s="88"/>
      <c r="K30" s="88"/>
      <c r="L30" s="88"/>
    </row>
    <row r="31" spans="1:16">
      <c r="F31" s="37" t="s">
        <v>57</v>
      </c>
    </row>
    <row r="33" spans="1:12">
      <c r="A33" s="45"/>
      <c r="B33" s="45"/>
      <c r="C33" s="45"/>
      <c r="D33" s="45"/>
      <c r="E33" s="45"/>
      <c r="F33" s="45"/>
      <c r="G33" s="45"/>
      <c r="H33" s="45"/>
      <c r="I33" s="11"/>
      <c r="J33" s="11"/>
      <c r="K33" s="11"/>
      <c r="L33" s="11"/>
    </row>
    <row r="34" spans="1:12" ht="21">
      <c r="A34" s="46" t="s">
        <v>64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6" spans="1:12" ht="18.75">
      <c r="A36" s="22" t="s">
        <v>73</v>
      </c>
      <c r="D36" s="22">
        <f>'Исходные данные'!H13</f>
        <v>2222</v>
      </c>
      <c r="F36" s="22"/>
    </row>
    <row r="37" spans="1:12">
      <c r="A37" t="s">
        <v>78</v>
      </c>
    </row>
    <row r="38" spans="1:12">
      <c r="A38" t="s">
        <v>65</v>
      </c>
    </row>
    <row r="40" spans="1:12">
      <c r="A40" t="s">
        <v>40</v>
      </c>
      <c r="B40" t="s">
        <v>45</v>
      </c>
      <c r="F40" t="s">
        <v>131</v>
      </c>
    </row>
    <row r="42" spans="1:12">
      <c r="A42" t="s">
        <v>66</v>
      </c>
      <c r="F42" t="s">
        <v>131</v>
      </c>
    </row>
    <row r="45" spans="1:12">
      <c r="A45" t="s">
        <v>67</v>
      </c>
      <c r="F45" t="s">
        <v>131</v>
      </c>
    </row>
  </sheetData>
  <mergeCells count="12">
    <mergeCell ref="I8:I9"/>
    <mergeCell ref="J8:J9"/>
    <mergeCell ref="K8:K9"/>
    <mergeCell ref="L8:L9"/>
    <mergeCell ref="C27:E27"/>
    <mergeCell ref="C30:E30"/>
    <mergeCell ref="A8:A9"/>
    <mergeCell ref="G8:H8"/>
    <mergeCell ref="D8:D9"/>
    <mergeCell ref="E8:E9"/>
    <mergeCell ref="F8:F9"/>
    <mergeCell ref="B8:B9"/>
  </mergeCells>
  <pageMargins left="7.874015748031496E-2" right="7.874015748031496E-2" top="0.74803149606299213" bottom="0.74803149606299213" header="0.31496062992125984" footer="0.31496062992125984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W44"/>
  <sheetViews>
    <sheetView workbookViewId="0">
      <selection activeCell="B10" sqref="B10"/>
    </sheetView>
  </sheetViews>
  <sheetFormatPr defaultRowHeight="15"/>
  <cols>
    <col min="2" max="2" width="16.140625" customWidth="1"/>
    <col min="3" max="3" width="10.7109375" customWidth="1"/>
    <col min="4" max="4" width="7.7109375" customWidth="1"/>
    <col min="5" max="5" width="5.7109375" customWidth="1"/>
    <col min="6" max="6" width="11.28515625" customWidth="1"/>
    <col min="7" max="8" width="6.5703125" customWidth="1"/>
    <col min="10" max="10" width="11.7109375" customWidth="1"/>
    <col min="12" max="12" width="12.5703125" customWidth="1"/>
    <col min="13" max="13" width="11.5703125" customWidth="1"/>
  </cols>
  <sheetData>
    <row r="3" spans="1:23" ht="21">
      <c r="B3" s="34" t="str">
        <f>'Исходные данные'!B13</f>
        <v>Сопроводительный лист</v>
      </c>
      <c r="F3" s="35">
        <f>'Исходные данные'!H13</f>
        <v>2222</v>
      </c>
    </row>
    <row r="6" spans="1:23" ht="23.25">
      <c r="C6" s="20" t="s">
        <v>141</v>
      </c>
    </row>
    <row r="8" spans="1:23" ht="27" customHeight="1">
      <c r="A8" s="357" t="s">
        <v>8</v>
      </c>
      <c r="B8" s="372" t="s">
        <v>14</v>
      </c>
      <c r="C8" s="372" t="s">
        <v>21</v>
      </c>
      <c r="D8" s="14" t="s">
        <v>18</v>
      </c>
      <c r="E8" s="379" t="s">
        <v>4</v>
      </c>
      <c r="F8" s="379" t="s">
        <v>5</v>
      </c>
      <c r="G8" s="379" t="s">
        <v>2</v>
      </c>
      <c r="H8" s="377"/>
      <c r="I8" s="357" t="s">
        <v>3</v>
      </c>
      <c r="J8" s="374" t="s">
        <v>125</v>
      </c>
      <c r="K8" s="374" t="s">
        <v>126</v>
      </c>
      <c r="L8" s="374" t="s">
        <v>127</v>
      </c>
      <c r="M8" s="374" t="s">
        <v>126</v>
      </c>
      <c r="T8" s="376"/>
      <c r="U8" s="376"/>
      <c r="V8" s="376"/>
      <c r="W8" s="376"/>
    </row>
    <row r="9" spans="1:23" ht="42" customHeight="1">
      <c r="A9" s="358"/>
      <c r="B9" s="373"/>
      <c r="C9" s="373"/>
      <c r="D9" s="18" t="s">
        <v>23</v>
      </c>
      <c r="E9" s="379"/>
      <c r="F9" s="379"/>
      <c r="G9" s="379"/>
      <c r="H9" s="378"/>
      <c r="I9" s="358"/>
      <c r="J9" s="375"/>
      <c r="K9" s="375"/>
      <c r="L9" s="375"/>
      <c r="M9" s="375"/>
      <c r="N9" s="2" t="s">
        <v>10</v>
      </c>
      <c r="O9" s="2" t="s">
        <v>11</v>
      </c>
      <c r="P9" s="2" t="s">
        <v>12</v>
      </c>
      <c r="Q9" s="2" t="s">
        <v>13</v>
      </c>
      <c r="R9" s="1"/>
      <c r="S9" s="1"/>
      <c r="T9" s="77"/>
      <c r="U9" s="77"/>
      <c r="V9" s="77"/>
      <c r="W9" s="77"/>
    </row>
    <row r="10" spans="1:23" s="3" customFormat="1">
      <c r="A10" s="32">
        <f>'Исходные данные'!B17</f>
        <v>0</v>
      </c>
      <c r="B10" s="109" t="s">
        <v>136</v>
      </c>
      <c r="C10" s="102" t="s">
        <v>6</v>
      </c>
      <c r="D10" s="9">
        <v>599</v>
      </c>
      <c r="E10" s="9">
        <v>29.9</v>
      </c>
      <c r="F10" s="9">
        <v>1</v>
      </c>
      <c r="G10" s="9">
        <f>'Исходные данные'!S17</f>
        <v>0</v>
      </c>
      <c r="H10" s="9"/>
      <c r="I10" s="78"/>
      <c r="J10" s="85"/>
      <c r="K10" s="85"/>
      <c r="L10" s="85"/>
      <c r="M10" s="85"/>
      <c r="N10" s="10">
        <f>IF(D10&lt;500,0.008*G10,IF(D10&lt;1500,0.014*G10,IF(D10&lt;5000,0.022*G10,IF(D10&lt;2500,0.048*G10,0))))</f>
        <v>0</v>
      </c>
      <c r="O10" s="10">
        <f>G10*0.004</f>
        <v>0</v>
      </c>
      <c r="P10" s="10">
        <f>N10+O10</f>
        <v>0</v>
      </c>
      <c r="Q10" s="10">
        <f>0.008*G10</f>
        <v>0</v>
      </c>
      <c r="S10" s="76"/>
      <c r="V10" s="76"/>
    </row>
    <row r="11" spans="1:23" s="3" customFormat="1">
      <c r="A11" s="66">
        <f>'Исходные данные'!B18</f>
        <v>0</v>
      </c>
      <c r="B11" s="95" t="s">
        <v>136</v>
      </c>
      <c r="C11" s="102" t="s">
        <v>6</v>
      </c>
      <c r="D11" s="78">
        <v>599</v>
      </c>
      <c r="E11" s="70">
        <v>29.9</v>
      </c>
      <c r="F11" s="66">
        <v>1</v>
      </c>
      <c r="G11" s="66">
        <f>'Исходные данные'!S18</f>
        <v>0</v>
      </c>
      <c r="H11" s="9"/>
      <c r="I11" s="78"/>
      <c r="J11" s="85"/>
      <c r="K11" s="85"/>
      <c r="L11" s="85"/>
      <c r="M11" s="85"/>
      <c r="N11" s="10">
        <f t="shared" ref="N11:N24" si="0">IF(D11&lt;500,0.008*G11,IF(D11&lt;1500,0.014*G11,IF(D11&lt;5000,0.022*G11,IF(D11&lt;2500,0.048*G11,0))))</f>
        <v>0</v>
      </c>
      <c r="O11" s="10">
        <f t="shared" ref="O11:O24" si="1">G11*0.004</f>
        <v>0</v>
      </c>
      <c r="P11" s="10">
        <f t="shared" ref="P11:P24" si="2">N11+O11</f>
        <v>0</v>
      </c>
      <c r="Q11" s="10">
        <f t="shared" ref="Q11:Q24" si="3">0.008*G11</f>
        <v>0</v>
      </c>
      <c r="T11" s="76"/>
      <c r="U11" s="76"/>
      <c r="V11" s="76"/>
      <c r="W11" s="76"/>
    </row>
    <row r="12" spans="1:23" s="3" customFormat="1">
      <c r="A12" s="66">
        <f>'Исходные данные'!B19</f>
        <v>0</v>
      </c>
      <c r="B12" s="97" t="s">
        <v>136</v>
      </c>
      <c r="C12" s="102" t="s">
        <v>6</v>
      </c>
      <c r="D12" s="78">
        <v>499</v>
      </c>
      <c r="E12" s="97">
        <v>29.9</v>
      </c>
      <c r="F12" s="97">
        <v>1</v>
      </c>
      <c r="G12" s="66">
        <f>'Исходные данные'!S19</f>
        <v>0</v>
      </c>
      <c r="H12" s="9"/>
      <c r="I12" s="78"/>
      <c r="J12" s="85"/>
      <c r="K12" s="85"/>
      <c r="L12" s="85"/>
      <c r="M12" s="85"/>
      <c r="N12" s="10">
        <f t="shared" si="0"/>
        <v>0</v>
      </c>
      <c r="O12" s="10">
        <f t="shared" si="1"/>
        <v>0</v>
      </c>
      <c r="P12" s="10">
        <f t="shared" si="2"/>
        <v>0</v>
      </c>
      <c r="Q12" s="10">
        <f t="shared" si="3"/>
        <v>0</v>
      </c>
      <c r="T12" s="76"/>
      <c r="U12" s="76"/>
      <c r="V12" s="76"/>
      <c r="W12" s="76"/>
    </row>
    <row r="13" spans="1:23" s="3" customFormat="1">
      <c r="A13" s="66">
        <f>'Исходные данные'!B20</f>
        <v>0</v>
      </c>
      <c r="B13" s="97" t="s">
        <v>136</v>
      </c>
      <c r="C13" s="102" t="s">
        <v>6</v>
      </c>
      <c r="D13" s="78">
        <v>699</v>
      </c>
      <c r="E13" s="97">
        <v>29.9</v>
      </c>
      <c r="F13" s="97">
        <v>1</v>
      </c>
      <c r="G13" s="66">
        <f>'Исходные данные'!S20</f>
        <v>0</v>
      </c>
      <c r="H13" s="9"/>
      <c r="I13" s="78"/>
      <c r="J13" s="85"/>
      <c r="K13" s="85"/>
      <c r="L13" s="85"/>
      <c r="M13" s="85"/>
      <c r="N13" s="10">
        <f t="shared" si="0"/>
        <v>0</v>
      </c>
      <c r="O13" s="10">
        <f t="shared" si="1"/>
        <v>0</v>
      </c>
      <c r="P13" s="10">
        <f t="shared" si="2"/>
        <v>0</v>
      </c>
      <c r="Q13" s="10">
        <f t="shared" si="3"/>
        <v>0</v>
      </c>
      <c r="T13" s="76"/>
      <c r="U13" s="76"/>
      <c r="V13" s="76"/>
      <c r="W13" s="76"/>
    </row>
    <row r="14" spans="1:23" s="3" customFormat="1">
      <c r="A14" s="66">
        <f>'Исходные данные'!B21</f>
        <v>0</v>
      </c>
      <c r="B14" s="97"/>
      <c r="C14" s="102"/>
      <c r="D14" s="78"/>
      <c r="E14" s="97"/>
      <c r="F14" s="97"/>
      <c r="G14" s="66"/>
      <c r="H14" s="9"/>
      <c r="I14" s="78"/>
      <c r="J14" s="85"/>
      <c r="K14" s="85"/>
      <c r="L14" s="85"/>
      <c r="M14" s="85"/>
      <c r="N14" s="10">
        <f t="shared" si="0"/>
        <v>0</v>
      </c>
      <c r="O14" s="10">
        <f t="shared" si="1"/>
        <v>0</v>
      </c>
      <c r="P14" s="10">
        <f t="shared" si="2"/>
        <v>0</v>
      </c>
      <c r="Q14" s="10">
        <f t="shared" si="3"/>
        <v>0</v>
      </c>
      <c r="T14" s="76"/>
      <c r="U14" s="76"/>
      <c r="V14" s="76"/>
      <c r="W14" s="76"/>
    </row>
    <row r="15" spans="1:23" s="3" customFormat="1">
      <c r="A15" s="66">
        <f>'Исходные данные'!B22</f>
        <v>0</v>
      </c>
      <c r="B15" s="97"/>
      <c r="C15" s="102"/>
      <c r="D15" s="78"/>
      <c r="E15" s="97"/>
      <c r="F15" s="97"/>
      <c r="G15" s="66"/>
      <c r="H15" s="9"/>
      <c r="I15" s="78"/>
      <c r="J15" s="85"/>
      <c r="K15" s="85"/>
      <c r="L15" s="85"/>
      <c r="M15" s="85"/>
      <c r="N15" s="10">
        <f t="shared" si="0"/>
        <v>0</v>
      </c>
      <c r="O15" s="10">
        <f t="shared" si="1"/>
        <v>0</v>
      </c>
      <c r="P15" s="10">
        <f t="shared" si="2"/>
        <v>0</v>
      </c>
      <c r="Q15" s="10">
        <f t="shared" si="3"/>
        <v>0</v>
      </c>
      <c r="T15" s="76"/>
      <c r="U15" s="76"/>
      <c r="V15" s="76"/>
      <c r="W15" s="76"/>
    </row>
    <row r="16" spans="1:23" s="3" customFormat="1">
      <c r="A16" s="66">
        <f>'Исходные данные'!B23</f>
        <v>0</v>
      </c>
      <c r="B16" s="66">
        <f>IF('Исходные данные'!F23=3,"183.00.00.004",IF('Исходные данные'!F23=1,"0148.10.005",0))</f>
        <v>0</v>
      </c>
      <c r="C16" s="9"/>
      <c r="D16" s="78">
        <f>IF(AND('Исходные данные'!F23=3,'Исходные данные'!J23=1),'Исходные данные'!G23-5,IF(AND('Исходные данные'!F23=3,'Исходные данные'!J23=2),'Исходные данные'!G23-2,IF(AND('Исходные данные'!F23=1,'Исходные данные'!J23=1),'Исходные данные'!G23-5,IF(AND('Исходные данные'!F23=1,'Исходные данные'!J23=2),'Исходные данные'!G23-5,0))))</f>
        <v>0</v>
      </c>
      <c r="E16" s="70">
        <f>IF(AND('Исходные данные'!F23=3,'Исходные данные'!J23=1),33,IF(AND('Исходные данные'!F23=3,'Исходные данные'!J23=2),38,IF(AND('Исходные данные'!F23=1,'Исходные данные'!J23=1),34,IF(AND('Исходные данные'!F23=1,'Исходные данные'!J23=2),38,0))))</f>
        <v>0</v>
      </c>
      <c r="F16" s="66">
        <v>0.7</v>
      </c>
      <c r="G16" s="66">
        <f>'Исходные данные'!S23</f>
        <v>0</v>
      </c>
      <c r="H16" s="9"/>
      <c r="I16" s="78">
        <f>IF(AND('Исходные данные'!F23=3,'Исходные данные'!J23=1),IF('Исходные данные'!H23&lt;450,100,IF('Исходные данные'!H23&gt;=450,135,0)),IF(AND('Исходные данные'!F23=3,'Исходные данные'!J23=2),IF('Исходные данные'!H23&lt;450,100,IF('Исходные данные'!H23&gt;=450,135,0)),IF(AND('Исходные данные'!F23=1,'Исходные данные'!J23=1),IF(AND('Исходные данные'!H23&gt;250,'Исходные данные'!H23&lt;450),30,IF('Исходные данные'!H23&gt;=450,130,0)),IF(AND('Исходные данные'!F23=1,'Исходные данные'!J23=2),IF(AND('Исходные данные'!H23&gt;=240,'Исходные данные'!H23&lt;390),70,IF(AND('Исходные данные'!H23&gt;=390,'Исходные данные'!H23&lt;430),135,IF('Исходные данные'!H23&gt;=430,175,0))),0))))</f>
        <v>0</v>
      </c>
      <c r="J16" s="85"/>
      <c r="K16" s="85"/>
      <c r="L16" s="85"/>
      <c r="M16" s="85"/>
      <c r="N16" s="10">
        <f t="shared" si="0"/>
        <v>0</v>
      </c>
      <c r="O16" s="10">
        <f t="shared" si="1"/>
        <v>0</v>
      </c>
      <c r="P16" s="10">
        <f t="shared" si="2"/>
        <v>0</v>
      </c>
      <c r="Q16" s="10">
        <f t="shared" si="3"/>
        <v>0</v>
      </c>
      <c r="T16" s="76"/>
      <c r="U16" s="76"/>
      <c r="V16" s="76"/>
      <c r="W16" s="76"/>
    </row>
    <row r="17" spans="1:23" s="3" customFormat="1">
      <c r="A17" s="66">
        <f>'Исходные данные'!B24</f>
        <v>0</v>
      </c>
      <c r="B17" s="66">
        <f>IF('Исходные данные'!F24=3,"183.00.00.004",IF('Исходные данные'!F24=1,"0148.10.005",0))</f>
        <v>0</v>
      </c>
      <c r="C17" s="9"/>
      <c r="D17" s="78">
        <f>IF(AND('Исходные данные'!F24=3,'Исходные данные'!J24=1),'Исходные данные'!G24-5,IF(AND('Исходные данные'!F24=3,'Исходные данные'!J24=2),'Исходные данные'!G24-2,IF(AND('Исходные данные'!F24=1,'Исходные данные'!J24=1),'Исходные данные'!G24-5,IF(AND('Исходные данные'!F24=1,'Исходные данные'!J24=2),'Исходные данные'!G24-5,0))))</f>
        <v>0</v>
      </c>
      <c r="E17" s="70">
        <f>IF(AND('Исходные данные'!F24=3,'Исходные данные'!J24=1),33,IF(AND('Исходные данные'!F24=3,'Исходные данные'!J24=2),38,IF(AND('Исходные данные'!F24=1,'Исходные данные'!J24=1),34,IF(AND('Исходные данные'!F24=1,'Исходные данные'!J24=2),38,0))))</f>
        <v>0</v>
      </c>
      <c r="F17" s="66">
        <v>0.7</v>
      </c>
      <c r="G17" s="66">
        <f>'Исходные данные'!S24</f>
        <v>0</v>
      </c>
      <c r="H17" s="9"/>
      <c r="I17" s="78">
        <f>IF(AND('Исходные данные'!F24=3,'Исходные данные'!J24=1),IF('Исходные данные'!H24&lt;450,100,IF('Исходные данные'!H24&gt;=450,135,0)),IF(AND('Исходные данные'!F24=3,'Исходные данные'!J24=2),IF('Исходные данные'!H24&lt;450,100,IF('Исходные данные'!H24&gt;=450,135,0)),IF(AND('Исходные данные'!F24=1,'Исходные данные'!J24=1),IF(AND('Исходные данные'!H24&gt;250,'Исходные данные'!H24&lt;450),30,IF('Исходные данные'!H24&gt;=450,130,0)),IF(AND('Исходные данные'!F24=1,'Исходные данные'!J24=2),IF(AND('Исходные данные'!H24&gt;=240,'Исходные данные'!H24&lt;390),70,IF(AND('Исходные данные'!H24&gt;=390,'Исходные данные'!H24&lt;430),135,IF('Исходные данные'!H24&gt;=430,175,0))),0))))</f>
        <v>0</v>
      </c>
      <c r="J17" s="85"/>
      <c r="K17" s="85"/>
      <c r="L17" s="85"/>
      <c r="M17" s="85"/>
      <c r="N17" s="10">
        <f t="shared" si="0"/>
        <v>0</v>
      </c>
      <c r="O17" s="10">
        <f t="shared" si="1"/>
        <v>0</v>
      </c>
      <c r="P17" s="10">
        <f t="shared" si="2"/>
        <v>0</v>
      </c>
      <c r="Q17" s="10">
        <f t="shared" si="3"/>
        <v>0</v>
      </c>
      <c r="T17" s="76"/>
      <c r="U17" s="76"/>
      <c r="V17" s="76"/>
      <c r="W17" s="76"/>
    </row>
    <row r="18" spans="1:23" s="3" customFormat="1">
      <c r="A18" s="66">
        <f>'Исходные данные'!B25</f>
        <v>0</v>
      </c>
      <c r="B18" s="66">
        <f>IF('Исходные данные'!F25=3,"183.00.00.004",IF('Исходные данные'!F25=1,"0148.10.005",0))</f>
        <v>0</v>
      </c>
      <c r="C18" s="9"/>
      <c r="D18" s="78">
        <f>IF(AND('Исходные данные'!F25=3,'Исходные данные'!J25=1),'Исходные данные'!G25-5,IF(AND('Исходные данные'!F25=3,'Исходные данные'!J25=2),'Исходные данные'!G25-2,IF(AND('Исходные данные'!F25=1,'Исходные данные'!J25=1),'Исходные данные'!G25-5,IF(AND('Исходные данные'!F25=1,'Исходные данные'!J25=2),'Исходные данные'!G25-5,0))))</f>
        <v>0</v>
      </c>
      <c r="E18" s="70">
        <f>IF(AND('Исходные данные'!F25=3,'Исходные данные'!J25=1),33,IF(AND('Исходные данные'!F25=3,'Исходные данные'!J25=2),38,IF(AND('Исходные данные'!F25=1,'Исходные данные'!J25=1),34,IF(AND('Исходные данные'!F25=1,'Исходные данные'!J25=2),38,0))))</f>
        <v>0</v>
      </c>
      <c r="F18" s="66">
        <v>0.7</v>
      </c>
      <c r="G18" s="66">
        <f>'Исходные данные'!S25</f>
        <v>0</v>
      </c>
      <c r="H18" s="9"/>
      <c r="I18" s="78">
        <f>IF(AND('Исходные данные'!F25=3,'Исходные данные'!J25=1),IF('Исходные данные'!H25&lt;450,100,IF('Исходные данные'!H25&gt;=450,135,0)),IF(AND('Исходные данные'!F25=3,'Исходные данные'!J25=2),IF('Исходные данные'!H25&lt;450,100,IF('Исходные данные'!H25&gt;=450,135,0)),IF(AND('Исходные данные'!F25=1,'Исходные данные'!J25=1),IF(AND('Исходные данные'!H25&gt;250,'Исходные данные'!H25&lt;450),30,IF('Исходные данные'!H25&gt;=450,130,0)),IF(AND('Исходные данные'!F25=1,'Исходные данные'!J25=2),IF(AND('Исходные данные'!H25&gt;=240,'Исходные данные'!H25&lt;390),70,IF(AND('Исходные данные'!H25&gt;=390,'Исходные данные'!H25&lt;430),135,IF('Исходные данные'!H25&gt;=430,175,0))),0))))</f>
        <v>0</v>
      </c>
      <c r="J18" s="85"/>
      <c r="K18" s="85"/>
      <c r="L18" s="85"/>
      <c r="M18" s="85"/>
      <c r="N18" s="10">
        <f t="shared" si="0"/>
        <v>0</v>
      </c>
      <c r="O18" s="10">
        <f t="shared" si="1"/>
        <v>0</v>
      </c>
      <c r="P18" s="10">
        <f t="shared" si="2"/>
        <v>0</v>
      </c>
      <c r="Q18" s="10">
        <f t="shared" si="3"/>
        <v>0</v>
      </c>
      <c r="T18" s="76"/>
      <c r="U18" s="76"/>
      <c r="V18" s="76"/>
      <c r="W18" s="76"/>
    </row>
    <row r="19" spans="1:23" s="3" customFormat="1">
      <c r="A19" s="66">
        <f>'Исходные данные'!B26</f>
        <v>0</v>
      </c>
      <c r="B19" s="66">
        <f>IF('Исходные данные'!F26=3,"183.00.00.004",IF('Исходные данные'!F26=1,"0148.10.005",0))</f>
        <v>0</v>
      </c>
      <c r="C19" s="9"/>
      <c r="D19" s="78">
        <f>IF(AND('Исходные данные'!F26=3,'Исходные данные'!J26=1),'Исходные данные'!G26-5,IF(AND('Исходные данные'!F26=3,'Исходные данные'!J26=2),'Исходные данные'!G26-2,IF(AND('Исходные данные'!F26=1,'Исходные данные'!J26=1),'Исходные данные'!G26-5,IF(AND('Исходные данные'!F26=1,'Исходные данные'!J26=2),'Исходные данные'!G26-5,0))))</f>
        <v>0</v>
      </c>
      <c r="E19" s="70">
        <f>IF(AND('Исходные данные'!F26=3,'Исходные данные'!J26=1),33,IF(AND('Исходные данные'!F26=3,'Исходные данные'!J26=2),38,IF(AND('Исходные данные'!F26=1,'Исходные данные'!J26=1),34,IF(AND('Исходные данные'!F26=1,'Исходные данные'!J26=2),38,0))))</f>
        <v>0</v>
      </c>
      <c r="F19" s="66">
        <v>0.7</v>
      </c>
      <c r="G19" s="66">
        <f>'Исходные данные'!S26</f>
        <v>0</v>
      </c>
      <c r="H19" s="9"/>
      <c r="I19" s="78">
        <f>IF(AND('Исходные данные'!F26=3,'Исходные данные'!J26=1),IF('Исходные данные'!H26&lt;450,100,IF('Исходные данные'!H26&gt;=450,135,0)),IF(AND('Исходные данные'!F26=3,'Исходные данные'!J26=2),IF('Исходные данные'!H26&lt;450,100,IF('Исходные данные'!H26&gt;=450,135,0)),IF(AND('Исходные данные'!F26=1,'Исходные данные'!J26=1),IF(AND('Исходные данные'!H26&gt;250,'Исходные данные'!H26&lt;450),30,IF('Исходные данные'!H26&gt;=450,130,0)),IF(AND('Исходные данные'!F26=1,'Исходные данные'!J26=2),IF(AND('Исходные данные'!H26&gt;=240,'Исходные данные'!H26&lt;390),70,IF(AND('Исходные данные'!H26&gt;=390,'Исходные данные'!H26&lt;430),135,IF('Исходные данные'!H26&gt;=430,175,0))),0))))</f>
        <v>0</v>
      </c>
      <c r="J19" s="85"/>
      <c r="K19" s="85"/>
      <c r="L19" s="85"/>
      <c r="M19" s="85"/>
      <c r="N19" s="10">
        <f t="shared" si="0"/>
        <v>0</v>
      </c>
      <c r="O19" s="10">
        <f t="shared" si="1"/>
        <v>0</v>
      </c>
      <c r="P19" s="10">
        <f t="shared" si="2"/>
        <v>0</v>
      </c>
      <c r="Q19" s="10">
        <f t="shared" si="3"/>
        <v>0</v>
      </c>
      <c r="T19" s="76"/>
      <c r="U19" s="76"/>
      <c r="V19" s="76"/>
      <c r="W19" s="76"/>
    </row>
    <row r="20" spans="1:23" s="3" customFormat="1">
      <c r="A20" s="66">
        <f>'Исходные данные'!B27</f>
        <v>0</v>
      </c>
      <c r="B20" s="66">
        <f>IF('Исходные данные'!F27=3,"183.00.00.004",IF('Исходные данные'!F27=1,"0148.10.005",0))</f>
        <v>0</v>
      </c>
      <c r="C20" s="9"/>
      <c r="D20" s="78">
        <f>IF(AND('Исходные данные'!F27=3,'Исходные данные'!J27=1),'Исходные данные'!G27-5,IF(AND('Исходные данные'!F27=3,'Исходные данные'!J27=2),'Исходные данные'!G27-2,IF(AND('Исходные данные'!F27=1,'Исходные данные'!J27=1),'Исходные данные'!G27-5,IF(AND('Исходные данные'!F27=1,'Исходные данные'!J27=2),'Исходные данные'!G27-5,0))))</f>
        <v>0</v>
      </c>
      <c r="E20" s="70">
        <f>IF(AND('Исходные данные'!F27=3,'Исходные данные'!J27=1),33,IF(AND('Исходные данные'!F27=3,'Исходные данные'!J27=2),38,IF(AND('Исходные данные'!F27=1,'Исходные данные'!J27=1),34,IF(AND('Исходные данные'!F27=1,'Исходные данные'!J27=2),38,0))))</f>
        <v>0</v>
      </c>
      <c r="F20" s="66">
        <v>0.7</v>
      </c>
      <c r="G20" s="66">
        <f>'Исходные данные'!S27</f>
        <v>0</v>
      </c>
      <c r="H20" s="9"/>
      <c r="I20" s="78">
        <f>IF(AND('Исходные данные'!F27=3,'Исходные данные'!J27=1),IF('Исходные данные'!H27&lt;450,100,IF('Исходные данные'!H27&gt;=450,135,0)),IF(AND('Исходные данные'!F27=3,'Исходные данные'!J27=2),IF('Исходные данные'!H27&lt;450,100,IF('Исходные данные'!H27&gt;=450,135,0)),IF(AND('Исходные данные'!F27=1,'Исходные данные'!J27=1),IF(AND('Исходные данные'!H27&gt;250,'Исходные данные'!H27&lt;450),30,IF('Исходные данные'!H27&gt;=450,130,0)),IF(AND('Исходные данные'!F27=1,'Исходные данные'!J27=2),IF(AND('Исходные данные'!H27&gt;=240,'Исходные данные'!H27&lt;390),70,IF(AND('Исходные данные'!H27&gt;=390,'Исходные данные'!H27&lt;430),135,IF('Исходные данные'!H27&gt;=430,175,0))),0))))</f>
        <v>0</v>
      </c>
      <c r="J20" s="85"/>
      <c r="K20" s="85"/>
      <c r="L20" s="85"/>
      <c r="M20" s="85"/>
      <c r="N20" s="10">
        <f t="shared" si="0"/>
        <v>0</v>
      </c>
      <c r="O20" s="10">
        <f t="shared" si="1"/>
        <v>0</v>
      </c>
      <c r="P20" s="10">
        <f t="shared" si="2"/>
        <v>0</v>
      </c>
      <c r="Q20" s="10">
        <f t="shared" si="3"/>
        <v>0</v>
      </c>
      <c r="T20" s="76"/>
      <c r="U20" s="76"/>
      <c r="V20" s="76"/>
      <c r="W20" s="76"/>
    </row>
    <row r="21" spans="1:23" s="3" customFormat="1">
      <c r="A21" s="66">
        <f>'Исходные данные'!B28</f>
        <v>0</v>
      </c>
      <c r="B21" s="66">
        <f>IF('Исходные данные'!F28=3,"183.00.00.004",IF('Исходные данные'!F28=1,"0148.10.005",0))</f>
        <v>0</v>
      </c>
      <c r="C21" s="9"/>
      <c r="D21" s="78">
        <f>IF(AND('Исходные данные'!F28=3,'Исходные данные'!J28=1),'Исходные данные'!G28-5,IF(AND('Исходные данные'!F28=3,'Исходные данные'!J28=2),'Исходные данные'!G28-2,IF(AND('Исходные данные'!F28=1,'Исходные данные'!J28=1),'Исходные данные'!G28-5,IF(AND('Исходные данные'!F28=1,'Исходные данные'!J28=2),'Исходные данные'!G28-5,0))))</f>
        <v>0</v>
      </c>
      <c r="E21" s="70">
        <f>IF(AND('Исходные данные'!F28=3,'Исходные данные'!J28=1),33,IF(AND('Исходные данные'!F28=3,'Исходные данные'!J28=2),38,IF(AND('Исходные данные'!F28=1,'Исходные данные'!J28=1),34,IF(AND('Исходные данные'!F28=1,'Исходные данные'!J28=2),38,0))))</f>
        <v>0</v>
      </c>
      <c r="F21" s="66">
        <v>0.7</v>
      </c>
      <c r="G21" s="66">
        <f>'Исходные данные'!S28</f>
        <v>0</v>
      </c>
      <c r="H21" s="9"/>
      <c r="I21" s="78">
        <f>IF(AND('Исходные данные'!F28=3,'Исходные данные'!J28=1),IF('Исходные данные'!H28&lt;450,100,IF('Исходные данные'!H28&gt;=450,135,0)),IF(AND('Исходные данные'!F28=3,'Исходные данные'!J28=2),IF('Исходные данные'!H28&lt;450,100,IF('Исходные данные'!H28&gt;=450,135,0)),IF(AND('Исходные данные'!F28=1,'Исходные данные'!J28=1),IF(AND('Исходные данные'!H28&gt;250,'Исходные данные'!H28&lt;450),30,IF('Исходные данные'!H28&gt;=450,130,0)),IF(AND('Исходные данные'!F28=1,'Исходные данные'!J28=2),IF(AND('Исходные данные'!H28&gt;=240,'Исходные данные'!H28&lt;390),70,IF(AND('Исходные данные'!H28&gt;=390,'Исходные данные'!H28&lt;430),135,IF('Исходные данные'!H28&gt;=430,175,0))),0))))</f>
        <v>0</v>
      </c>
      <c r="J21" s="85"/>
      <c r="K21" s="85"/>
      <c r="L21" s="85"/>
      <c r="M21" s="85"/>
      <c r="N21" s="10">
        <f t="shared" si="0"/>
        <v>0</v>
      </c>
      <c r="O21" s="10">
        <f t="shared" si="1"/>
        <v>0</v>
      </c>
      <c r="P21" s="10">
        <f t="shared" si="2"/>
        <v>0</v>
      </c>
      <c r="Q21" s="10">
        <f t="shared" si="3"/>
        <v>0</v>
      </c>
      <c r="T21" s="76"/>
      <c r="U21" s="76"/>
      <c r="V21" s="76"/>
      <c r="W21" s="76"/>
    </row>
    <row r="22" spans="1:23" s="3" customFormat="1">
      <c r="A22" s="66">
        <f>'Исходные данные'!B29</f>
        <v>0</v>
      </c>
      <c r="B22" s="66">
        <f>IF('Исходные данные'!F29=3,"183.00.00.004",IF('Исходные данные'!F29=1,"0148.10.005",0))</f>
        <v>0</v>
      </c>
      <c r="C22" s="9"/>
      <c r="D22" s="78">
        <f>IF(AND('Исходные данные'!F29=3,'Исходные данные'!J29=1),'Исходные данные'!G29-5,IF(AND('Исходные данные'!F29=3,'Исходные данные'!J29=2),'Исходные данные'!G29-2,IF(AND('Исходные данные'!F29=1,'Исходные данные'!J29=1),'Исходные данные'!G29-5,IF(AND('Исходные данные'!F29=1,'Исходные данные'!J29=2),'Исходные данные'!G29-5,0))))</f>
        <v>0</v>
      </c>
      <c r="E22" s="70">
        <f>IF(AND('Исходные данные'!F29=3,'Исходные данные'!J29=1),33,IF(AND('Исходные данные'!F29=3,'Исходные данные'!J29=2),38,IF(AND('Исходные данные'!F29=1,'Исходные данные'!J29=1),34,IF(AND('Исходные данные'!F29=1,'Исходные данные'!J29=2),38,0))))</f>
        <v>0</v>
      </c>
      <c r="F22" s="66">
        <v>0.7</v>
      </c>
      <c r="G22" s="66">
        <f>'Исходные данные'!S29</f>
        <v>0</v>
      </c>
      <c r="H22" s="9"/>
      <c r="I22" s="78">
        <f>IF(AND('Исходные данные'!F29=3,'Исходные данные'!J29=1),IF('Исходные данные'!H29&lt;450,100,IF('Исходные данные'!H29&gt;=450,135,0)),IF(AND('Исходные данные'!F29=3,'Исходные данные'!J29=2),IF('Исходные данные'!H29&lt;450,100,IF('Исходные данные'!H29&gt;=450,135,0)),IF(AND('Исходные данные'!F29=1,'Исходные данные'!J29=1),IF(AND('Исходные данные'!H29&gt;250,'Исходные данные'!H29&lt;450),30,IF('Исходные данные'!H29&gt;=450,130,0)),IF(AND('Исходные данные'!F29=1,'Исходные данные'!J29=2),IF(AND('Исходные данные'!H29&gt;=240,'Исходные данные'!H29&lt;390),70,IF(AND('Исходные данные'!H29&gt;=390,'Исходные данные'!H29&lt;430),135,IF('Исходные данные'!H29&gt;=430,175,0))),0))))</f>
        <v>0</v>
      </c>
      <c r="J22" s="85"/>
      <c r="K22" s="85"/>
      <c r="L22" s="85"/>
      <c r="M22" s="85"/>
      <c r="N22" s="10">
        <f t="shared" si="0"/>
        <v>0</v>
      </c>
      <c r="O22" s="10">
        <f t="shared" si="1"/>
        <v>0</v>
      </c>
      <c r="P22" s="10">
        <f t="shared" si="2"/>
        <v>0</v>
      </c>
      <c r="Q22" s="10">
        <f t="shared" si="3"/>
        <v>0</v>
      </c>
      <c r="T22" s="76"/>
      <c r="U22" s="76"/>
      <c r="V22" s="76"/>
      <c r="W22" s="76"/>
    </row>
    <row r="23" spans="1:23" s="3" customFormat="1">
      <c r="A23" s="66">
        <f>'Исходные данные'!B30</f>
        <v>0</v>
      </c>
      <c r="B23" s="66">
        <f>IF('Исходные данные'!F30=3,"183.00.00.004",IF('Исходные данные'!F30=1,"0148.10.005",0))</f>
        <v>0</v>
      </c>
      <c r="C23" s="9"/>
      <c r="D23" s="78">
        <f>IF(AND('Исходные данные'!F30=3,'Исходные данные'!J30=1),'Исходные данные'!G30-5,IF(AND('Исходные данные'!F30=3,'Исходные данные'!J30=2),'Исходные данные'!G30-2,IF(AND('Исходные данные'!F30=1,'Исходные данные'!J30=1),'Исходные данные'!G30-5,IF(AND('Исходные данные'!F30=1,'Исходные данные'!J30=2),'Исходные данные'!G30-5,0))))</f>
        <v>0</v>
      </c>
      <c r="E23" s="70">
        <f>IF(AND('Исходные данные'!F30=3,'Исходные данные'!J30=1),33,IF(AND('Исходные данные'!F30=3,'Исходные данные'!J30=2),38,IF(AND('Исходные данные'!F30=1,'Исходные данные'!J30=1),34,IF(AND('Исходные данные'!F30=1,'Исходные данные'!J30=2),38,0))))</f>
        <v>0</v>
      </c>
      <c r="F23" s="66">
        <v>0.7</v>
      </c>
      <c r="G23" s="66">
        <f>'Исходные данные'!S30</f>
        <v>0</v>
      </c>
      <c r="H23" s="9"/>
      <c r="I23" s="78">
        <f>IF(AND('Исходные данные'!F30=3,'Исходные данные'!J30=1),IF('Исходные данные'!H30&lt;450,100,IF('Исходные данные'!H30&gt;=450,135,0)),IF(AND('Исходные данные'!F30=3,'Исходные данные'!J30=2),IF('Исходные данные'!H30&lt;450,100,IF('Исходные данные'!H30&gt;=450,135,0)),IF(AND('Исходные данные'!F30=1,'Исходные данные'!J30=1),IF(AND('Исходные данные'!H30&gt;250,'Исходные данные'!H30&lt;450),30,IF('Исходные данные'!H30&gt;=450,130,0)),IF(AND('Исходные данные'!F30=1,'Исходные данные'!J30=2),IF(AND('Исходные данные'!H30&gt;=240,'Исходные данные'!H30&lt;390),70,IF(AND('Исходные данные'!H30&gt;=390,'Исходные данные'!H30&lt;430),135,IF('Исходные данные'!H30&gt;=430,175,0))),0))))</f>
        <v>0</v>
      </c>
      <c r="J23" s="85"/>
      <c r="K23" s="85"/>
      <c r="L23" s="85"/>
      <c r="M23" s="85"/>
      <c r="N23" s="10">
        <f t="shared" si="0"/>
        <v>0</v>
      </c>
      <c r="O23" s="10">
        <f t="shared" si="1"/>
        <v>0</v>
      </c>
      <c r="P23" s="10">
        <f t="shared" si="2"/>
        <v>0</v>
      </c>
      <c r="Q23" s="10">
        <f t="shared" si="3"/>
        <v>0</v>
      </c>
      <c r="T23" s="76"/>
      <c r="U23" s="76"/>
      <c r="V23" s="76"/>
      <c r="W23" s="76"/>
    </row>
    <row r="24" spans="1:23" s="3" customFormat="1">
      <c r="A24" s="66">
        <f>'Исходные данные'!B31</f>
        <v>0</v>
      </c>
      <c r="B24" s="66">
        <f>IF('Исходные данные'!F31=3,"183.00.00.004",IF('Исходные данные'!F31=1,"0148.10.005",0))</f>
        <v>0</v>
      </c>
      <c r="C24" s="9"/>
      <c r="D24" s="78">
        <f>IF(AND('Исходные данные'!F31=3,'Исходные данные'!J31=1),'Исходные данные'!G31-5,IF(AND('Исходные данные'!F31=3,'Исходные данные'!J31=2),'Исходные данные'!G31-2,IF(AND('Исходные данные'!F31=1,'Исходные данные'!J31=1),'Исходные данные'!G31-5,IF(AND('Исходные данные'!F31=1,'Исходные данные'!J31=2),'Исходные данные'!G31-5,0))))</f>
        <v>0</v>
      </c>
      <c r="E24" s="70">
        <f>IF(AND('Исходные данные'!F31=3,'Исходные данные'!J31=1),33,IF(AND('Исходные данные'!F31=3,'Исходные данные'!J31=2),38,IF(AND('Исходные данные'!F31=1,'Исходные данные'!J31=1),34,IF(AND('Исходные данные'!F31=1,'Исходные данные'!J31=2),38,0))))</f>
        <v>0</v>
      </c>
      <c r="F24" s="66">
        <v>0.7</v>
      </c>
      <c r="G24" s="66">
        <f>'Исходные данные'!S31</f>
        <v>0</v>
      </c>
      <c r="H24" s="9"/>
      <c r="I24" s="78">
        <f>IF(AND('Исходные данные'!F31=3,'Исходные данные'!J31=1),IF('Исходные данные'!H31&lt;450,100,IF('Исходные данные'!H31&gt;=450,135,0)),IF(AND('Исходные данные'!F31=3,'Исходные данные'!J31=2),IF('Исходные данные'!H31&lt;450,100,IF('Исходные данные'!H31&gt;=450,135,0)),IF(AND('Исходные данные'!F31=1,'Исходные данные'!J31=1),IF(AND('Исходные данные'!H31&gt;250,'Исходные данные'!H31&lt;450),30,IF('Исходные данные'!H31&gt;=450,130,0)),IF(AND('Исходные данные'!F31=1,'Исходные данные'!J31=2),IF(AND('Исходные данные'!H31&gt;=240,'Исходные данные'!H31&lt;390),70,IF(AND('Исходные данные'!H31&gt;=390,'Исходные данные'!H31&lt;430),135,IF('Исходные данные'!H31&gt;=430,175,0))),0))))</f>
        <v>0</v>
      </c>
      <c r="J24" s="85"/>
      <c r="K24" s="85"/>
      <c r="L24" s="85"/>
      <c r="M24" s="85"/>
      <c r="N24" s="10">
        <f t="shared" si="0"/>
        <v>0</v>
      </c>
      <c r="O24" s="10">
        <f t="shared" si="1"/>
        <v>0</v>
      </c>
      <c r="P24" s="10">
        <f t="shared" si="2"/>
        <v>0</v>
      </c>
      <c r="Q24" s="10">
        <f t="shared" si="3"/>
        <v>0</v>
      </c>
      <c r="T24" s="76"/>
      <c r="U24" s="76"/>
      <c r="V24" s="76"/>
      <c r="W24" s="76"/>
    </row>
    <row r="25" spans="1:23" s="3" customFormat="1">
      <c r="A25" s="31"/>
      <c r="J25" s="84"/>
      <c r="K25" s="84"/>
      <c r="L25" s="84"/>
      <c r="M25" s="84"/>
      <c r="P25" s="3">
        <f>SUM(P10:P24)</f>
        <v>0</v>
      </c>
      <c r="Q25" s="3">
        <f>SUM(Q10:Q24)</f>
        <v>0</v>
      </c>
      <c r="T25" s="76"/>
      <c r="U25" s="76"/>
      <c r="V25" s="76"/>
      <c r="W25" s="76"/>
    </row>
    <row r="26" spans="1:23" s="3" customFormat="1">
      <c r="A26" s="31"/>
      <c r="J26" s="84"/>
      <c r="K26" s="84"/>
      <c r="L26" s="84"/>
      <c r="M26" s="84"/>
    </row>
    <row r="27" spans="1:23" s="3" customFormat="1" ht="30" customHeight="1">
      <c r="A27" s="31"/>
      <c r="B27" s="2" t="s">
        <v>40</v>
      </c>
      <c r="C27" s="2" t="s">
        <v>41</v>
      </c>
      <c r="D27" s="376" t="s">
        <v>42</v>
      </c>
      <c r="E27" s="376"/>
      <c r="F27" s="376"/>
      <c r="J27" s="84"/>
      <c r="K27" s="84"/>
      <c r="L27" s="84"/>
      <c r="M27" s="84"/>
    </row>
    <row r="28" spans="1:23" s="3" customFormat="1">
      <c r="A28" s="31"/>
      <c r="J28" s="84"/>
      <c r="K28" s="84"/>
      <c r="L28" s="84"/>
      <c r="M28" s="84"/>
    </row>
    <row r="29" spans="1:23" s="3" customFormat="1">
      <c r="A29" s="31"/>
      <c r="B29" s="2" t="s">
        <v>13</v>
      </c>
      <c r="C29" s="2" t="s">
        <v>41</v>
      </c>
      <c r="D29" s="368" t="s">
        <v>44</v>
      </c>
      <c r="E29" s="368"/>
      <c r="F29" s="368"/>
      <c r="H29" s="104">
        <v>0.192</v>
      </c>
      <c r="J29" s="84"/>
      <c r="K29" s="84"/>
      <c r="L29" s="84"/>
      <c r="M29" s="84"/>
    </row>
    <row r="31" spans="1:23">
      <c r="A31" s="47"/>
      <c r="B31" s="47"/>
      <c r="C31" s="47"/>
      <c r="D31" s="47"/>
      <c r="E31" s="47"/>
      <c r="F31" s="47"/>
      <c r="G31" s="47"/>
      <c r="H31" s="47"/>
    </row>
    <row r="32" spans="1:23" ht="21">
      <c r="A32" s="48" t="s">
        <v>64</v>
      </c>
      <c r="B32" s="48"/>
      <c r="C32" s="48"/>
      <c r="D32" s="48"/>
      <c r="E32" s="48"/>
      <c r="F32" s="21"/>
      <c r="G32" s="21"/>
      <c r="H32" s="21"/>
    </row>
    <row r="33" spans="1:8">
      <c r="A33" s="21"/>
      <c r="B33" s="21"/>
      <c r="C33" s="21"/>
      <c r="D33" s="21"/>
      <c r="E33" s="21"/>
      <c r="F33" s="21"/>
      <c r="G33" s="21"/>
      <c r="H33" s="21"/>
    </row>
    <row r="34" spans="1:8" ht="18.75">
      <c r="A34" s="42" t="s">
        <v>73</v>
      </c>
      <c r="B34" s="42"/>
      <c r="C34" s="42"/>
      <c r="D34" s="42">
        <f>'Исходные данные'!H13</f>
        <v>2222</v>
      </c>
      <c r="E34" s="21"/>
      <c r="F34" s="42"/>
      <c r="G34" s="21"/>
      <c r="H34" s="21"/>
    </row>
    <row r="35" spans="1:8">
      <c r="A35" s="21" t="s">
        <v>78</v>
      </c>
      <c r="B35" s="21"/>
      <c r="C35" s="21"/>
      <c r="D35" s="21"/>
      <c r="E35" s="21"/>
      <c r="F35" s="21"/>
      <c r="G35" s="21"/>
      <c r="H35" s="21"/>
    </row>
    <row r="36" spans="1:8">
      <c r="A36" s="21" t="s">
        <v>65</v>
      </c>
      <c r="B36" s="21"/>
      <c r="C36" s="21"/>
      <c r="D36" s="21"/>
      <c r="E36" s="21"/>
      <c r="F36" s="21"/>
      <c r="G36" s="21"/>
      <c r="H36" s="21"/>
    </row>
    <row r="37" spans="1:8">
      <c r="A37" s="21"/>
      <c r="B37" s="21"/>
      <c r="C37" s="21"/>
      <c r="D37" s="21"/>
      <c r="E37" s="21"/>
      <c r="F37" s="21"/>
      <c r="G37" s="21"/>
      <c r="H37" s="21"/>
    </row>
    <row r="38" spans="1:8">
      <c r="A38" s="21" t="s">
        <v>40</v>
      </c>
      <c r="B38" s="21" t="s">
        <v>45</v>
      </c>
      <c r="C38" s="21"/>
      <c r="D38" s="21"/>
      <c r="E38" s="21"/>
      <c r="F38" s="21" t="s">
        <v>131</v>
      </c>
      <c r="G38" s="21"/>
      <c r="H38" s="21"/>
    </row>
    <row r="39" spans="1:8">
      <c r="A39" s="21"/>
      <c r="B39" s="21"/>
      <c r="C39" s="21"/>
      <c r="D39" s="21"/>
      <c r="E39" s="21"/>
      <c r="F39" s="21"/>
      <c r="G39" s="21"/>
      <c r="H39" s="21"/>
    </row>
    <row r="40" spans="1:8">
      <c r="A40" s="21" t="s">
        <v>66</v>
      </c>
      <c r="B40" s="21"/>
      <c r="C40" s="21"/>
      <c r="D40" s="21"/>
      <c r="E40" s="21"/>
      <c r="F40" s="21" t="s">
        <v>131</v>
      </c>
      <c r="G40" s="21"/>
      <c r="H40" s="21"/>
    </row>
    <row r="41" spans="1:8">
      <c r="A41" s="21"/>
      <c r="B41" s="21"/>
      <c r="C41" s="21"/>
      <c r="D41" s="21"/>
      <c r="E41" s="21"/>
      <c r="F41" s="21"/>
      <c r="G41" s="21"/>
      <c r="H41" s="21"/>
    </row>
    <row r="42" spans="1:8">
      <c r="A42" s="21"/>
      <c r="B42" s="21"/>
      <c r="C42" s="21"/>
      <c r="D42" s="21"/>
      <c r="E42" s="21"/>
      <c r="F42" s="21"/>
      <c r="G42" s="21"/>
      <c r="H42" s="21"/>
    </row>
    <row r="43" spans="1:8">
      <c r="A43" s="21" t="s">
        <v>67</v>
      </c>
      <c r="B43" s="21"/>
      <c r="C43" s="21"/>
      <c r="D43" s="21"/>
      <c r="E43" s="21"/>
      <c r="F43" s="21" t="s">
        <v>131</v>
      </c>
      <c r="G43" s="21"/>
      <c r="H43" s="21"/>
    </row>
    <row r="44" spans="1:8">
      <c r="A44" s="21"/>
      <c r="B44" s="21"/>
      <c r="C44" s="21"/>
      <c r="D44" s="21"/>
      <c r="E44" s="21"/>
      <c r="F44" s="21"/>
      <c r="G44" s="21"/>
      <c r="H44" s="21"/>
    </row>
  </sheetData>
  <mergeCells count="15">
    <mergeCell ref="D27:F27"/>
    <mergeCell ref="D29:F29"/>
    <mergeCell ref="I8:I9"/>
    <mergeCell ref="E8:E9"/>
    <mergeCell ref="F8:F9"/>
    <mergeCell ref="G8:G9"/>
    <mergeCell ref="T8:W8"/>
    <mergeCell ref="A8:A9"/>
    <mergeCell ref="B8:B9"/>
    <mergeCell ref="C8:C9"/>
    <mergeCell ref="H8:H9"/>
    <mergeCell ref="J8:J9"/>
    <mergeCell ref="K8:K9"/>
    <mergeCell ref="L8:L9"/>
    <mergeCell ref="M8:M9"/>
  </mergeCells>
  <pageMargins left="7.874015748031496E-2" right="7.874015748031496E-2" top="0.74803149606299213" bottom="0.74803149606299213" header="0.31496062992125984" footer="0.31496062992125984"/>
  <pageSetup paperSize="9" scale="7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V44"/>
  <sheetViews>
    <sheetView workbookViewId="0">
      <selection sqref="A1:M44"/>
    </sheetView>
  </sheetViews>
  <sheetFormatPr defaultRowHeight="15"/>
  <cols>
    <col min="2" max="2" width="16" customWidth="1"/>
    <col min="3" max="3" width="14" customWidth="1"/>
    <col min="4" max="4" width="8.5703125" customWidth="1"/>
    <col min="5" max="5" width="7" customWidth="1"/>
    <col min="6" max="6" width="9.5703125" customWidth="1"/>
    <col min="7" max="8" width="7.140625" customWidth="1"/>
    <col min="10" max="10" width="12.85546875" customWidth="1"/>
    <col min="11" max="11" width="13.28515625" customWidth="1"/>
    <col min="12" max="12" width="12.28515625" customWidth="1"/>
    <col min="13" max="13" width="11.42578125" customWidth="1"/>
  </cols>
  <sheetData>
    <row r="2" spans="1:22" ht="21">
      <c r="B2" s="34" t="str">
        <f>'Исходные данные'!B13</f>
        <v>Сопроводительный лист</v>
      </c>
      <c r="E2" s="34">
        <f>'Исходные данные'!H13</f>
        <v>2222</v>
      </c>
    </row>
    <row r="6" spans="1:22" ht="23.25">
      <c r="C6" s="20" t="s">
        <v>137</v>
      </c>
    </row>
    <row r="8" spans="1:22" ht="24.75" customHeight="1">
      <c r="A8" s="372" t="s">
        <v>8</v>
      </c>
      <c r="B8" s="372" t="s">
        <v>14</v>
      </c>
      <c r="C8" s="372" t="s">
        <v>21</v>
      </c>
      <c r="D8" s="4" t="s">
        <v>18</v>
      </c>
      <c r="E8" s="381" t="s">
        <v>4</v>
      </c>
      <c r="F8" s="381" t="s">
        <v>5</v>
      </c>
      <c r="G8" s="381" t="s">
        <v>2</v>
      </c>
      <c r="H8" s="380"/>
      <c r="I8" s="381" t="s">
        <v>3</v>
      </c>
      <c r="J8" s="374" t="s">
        <v>125</v>
      </c>
      <c r="K8" s="374" t="s">
        <v>126</v>
      </c>
      <c r="L8" s="374" t="s">
        <v>127</v>
      </c>
      <c r="M8" s="374" t="s">
        <v>126</v>
      </c>
      <c r="S8" s="376" t="s">
        <v>99</v>
      </c>
      <c r="T8" s="376"/>
      <c r="U8" s="376"/>
      <c r="V8" s="376"/>
    </row>
    <row r="9" spans="1:22" ht="31.5" customHeight="1">
      <c r="A9" s="373"/>
      <c r="B9" s="373"/>
      <c r="C9" s="373"/>
      <c r="D9" s="8" t="s">
        <v>22</v>
      </c>
      <c r="E9" s="381"/>
      <c r="F9" s="381"/>
      <c r="G9" s="381"/>
      <c r="H9" s="380"/>
      <c r="I9" s="381"/>
      <c r="J9" s="375"/>
      <c r="K9" s="375"/>
      <c r="L9" s="375"/>
      <c r="M9" s="375"/>
      <c r="N9" s="2" t="s">
        <v>10</v>
      </c>
      <c r="O9" s="2" t="s">
        <v>11</v>
      </c>
      <c r="P9" s="2" t="s">
        <v>12</v>
      </c>
      <c r="Q9" s="2" t="s">
        <v>13</v>
      </c>
      <c r="S9" s="77" t="s">
        <v>100</v>
      </c>
      <c r="T9" s="77" t="s">
        <v>101</v>
      </c>
      <c r="U9" s="77" t="s">
        <v>102</v>
      </c>
      <c r="V9" s="77" t="s">
        <v>103</v>
      </c>
    </row>
    <row r="10" spans="1:22" s="3" customFormat="1" ht="22.5">
      <c r="A10" s="32">
        <f>'Исходные данные'!B17</f>
        <v>0</v>
      </c>
      <c r="B10" s="111" t="s">
        <v>138</v>
      </c>
      <c r="C10" s="103" t="s">
        <v>9</v>
      </c>
      <c r="D10" s="8">
        <v>256.5</v>
      </c>
      <c r="E10" s="8">
        <v>42.7</v>
      </c>
      <c r="F10" s="8">
        <v>1</v>
      </c>
      <c r="G10" s="8">
        <f>'Исходные данные'!S17*2</f>
        <v>0</v>
      </c>
      <c r="H10" s="8"/>
      <c r="I10" s="8">
        <f>IF(AND('Исходные данные'!F17=3,'Исходные данные'!J17=1),IF('Исходные данные'!H17&lt;450,100,IF('Исходные данные'!H17&gt;=450,135,0)),IF(AND('Исходные данные'!F17=3,'Исходные данные'!J17=2),IF('Исходные данные'!H17&lt;450,100,IF('Исходные данные'!H17&gt;=450,135,0)),IF(AND('Исходные данные'!F17=1,'Исходные данные'!J17=1),IF(AND('Исходные данные'!H17&gt;250,'Исходные данные'!H17&lt;450),30,IF('Исходные данные'!H17&gt;=450,130,0)),IF(AND('Исходные данные'!F17=1,'Исходные данные'!J17=2),IF(AND('Исходные данные'!H17&gt;=240,'Исходные данные'!H17&lt;390),0,IF(AND('Исходные данные'!H17&gt;=390,'Исходные данные'!H17&lt;430),80,IF('Исходные данные'!H17&gt;=430,120,0))),0))))</f>
        <v>0</v>
      </c>
      <c r="J10" s="87"/>
      <c r="K10" s="87"/>
      <c r="L10" s="87"/>
      <c r="M10" s="87"/>
      <c r="N10" s="3">
        <f>IF(D10&lt;500,0.008*G10,IF(D10&lt;1500,0.014*G10,IF(D10&lt;5000,0.022*G10,IF(D10&lt;2500,0.048*G10,0))))</f>
        <v>0</v>
      </c>
      <c r="O10" s="3">
        <f>G10*0.004</f>
        <v>0</v>
      </c>
      <c r="P10" s="3">
        <f>N10+O10</f>
        <v>0</v>
      </c>
      <c r="Q10" s="3">
        <f>0.008*G10</f>
        <v>0</v>
      </c>
      <c r="S10" s="77">
        <f>IF(AND('Исходные данные'!F17=3,'Исходные данные'!J17=1),1,0)</f>
        <v>0</v>
      </c>
      <c r="T10" s="77">
        <f>IF(AND('Исходные данные'!F17=3,'Исходные данные'!J17=2),IF('Исходные данные'!H17&lt;450,100,IF('Исходные данные'!H17&gt;=450,135,0)),0)</f>
        <v>0</v>
      </c>
      <c r="U10" s="77">
        <f>IF(AND('Исходные данные'!F17=1,'Исходные данные'!J17=1),IF(AND('Исходные данные'!H17&gt;250,'Исходные данные'!H17&lt;450),30,IF('Исходные данные'!H17&gt;=450,130,0)),0)</f>
        <v>0</v>
      </c>
      <c r="V10" s="77">
        <f>IF(AND('Исходные данные'!F17=1,'Исходные данные'!J17=2),IF(AND('Исходные данные'!H17&gt;=240,'Исходные данные'!H17&lt;390),0,IF(AND('Исходные данные'!H17&gt;=390,'Исходные данные'!H17&lt;430),80,IF('Исходные данные'!H17&gt;=430,120,0))),0)</f>
        <v>0</v>
      </c>
    </row>
    <row r="11" spans="1:22" s="3" customFormat="1" ht="22.5">
      <c r="A11" s="66">
        <f>'Исходные данные'!B18</f>
        <v>0</v>
      </c>
      <c r="B11" s="96" t="s">
        <v>138</v>
      </c>
      <c r="C11" s="103" t="s">
        <v>9</v>
      </c>
      <c r="D11" s="79">
        <v>256.5</v>
      </c>
      <c r="E11" s="96">
        <v>42.7</v>
      </c>
      <c r="F11" s="96">
        <v>1</v>
      </c>
      <c r="G11" s="67">
        <f>'Исходные данные'!S18*2</f>
        <v>0</v>
      </c>
      <c r="H11" s="9"/>
      <c r="I11" s="194">
        <f>IF(AND('Исходные данные'!F18=3,'Исходные данные'!J18=1),IF('Исходные данные'!H18&lt;450,100,IF('Исходные данные'!H18&gt;=450,135,0)),IF(AND('Исходные данные'!F18=3,'Исходные данные'!J18=2),IF('Исходные данные'!H18&lt;450,100,IF('Исходные данные'!H18&gt;=450,135,0)),IF(AND('Исходные данные'!F18=1,'Исходные данные'!J18=1),IF(AND('Исходные данные'!H18&gt;250,'Исходные данные'!H18&lt;450),30,IF('Исходные данные'!H18&gt;=450,130,0)),IF(AND('Исходные данные'!F18=1,'Исходные данные'!J18=2),IF(AND('Исходные данные'!H18&gt;=240,'Исходные данные'!H18&lt;390),0,IF(AND('Исходные данные'!H18&gt;=390,'Исходные данные'!H18&lt;430),80,IF('Исходные данные'!H18&gt;=430,120,0))),0))))</f>
        <v>0</v>
      </c>
      <c r="J11" s="87"/>
      <c r="K11" s="87"/>
      <c r="L11" s="87"/>
      <c r="M11" s="87"/>
      <c r="N11" s="3">
        <f t="shared" ref="N11:N24" si="0">IF(D11&lt;500,0.008*G11,IF(D11&lt;1500,0.014*G11,IF(D11&lt;5000,0.022*G11,IF(D11&lt;2500,0.048*G11,0))))</f>
        <v>0</v>
      </c>
      <c r="O11" s="3">
        <f t="shared" ref="O11:O24" si="1">G11*0.004</f>
        <v>0</v>
      </c>
      <c r="P11" s="3">
        <f t="shared" ref="P11:P24" si="2">N11+O11</f>
        <v>0</v>
      </c>
      <c r="Q11" s="3">
        <f t="shared" ref="Q11:Q24" si="3">0.008*G11</f>
        <v>0</v>
      </c>
      <c r="S11" s="77">
        <f>IF(AND('Исходные данные'!F18=3,'Исходные данные'!J18=1),IF('Исходные данные'!H18&lt;450,100,IF('Исходные данные'!H18&gt;=450,135,0)),0)</f>
        <v>0</v>
      </c>
      <c r="T11" s="77">
        <f>IF(AND('Исходные данные'!F18=3,'Исходные данные'!J18=2),IF('Исходные данные'!H18&lt;450,100,IF('Исходные данные'!H18&gt;=450,135,0)),0)</f>
        <v>0</v>
      </c>
      <c r="U11" s="77">
        <f>IF(AND('Исходные данные'!F18=1,'Исходные данные'!J18=1),IF(AND('Исходные данные'!H18&gt;250,'Исходные данные'!H18&lt;450),30,IF('Исходные данные'!H18&gt;=450,130,0)),0)</f>
        <v>0</v>
      </c>
      <c r="V11" s="77">
        <f>IF(AND('Исходные данные'!F18=1,'Исходные данные'!J18=2),IF(AND('Исходные данные'!H18&gt;=240,'Исходные данные'!H18&lt;390),0,IF(AND('Исходные данные'!H18&gt;=390,'Исходные данные'!H18&lt;430),80,IF('Исходные данные'!H18&gt;=430,120,0))),0)</f>
        <v>0</v>
      </c>
    </row>
    <row r="12" spans="1:22" s="3" customFormat="1" ht="22.5">
      <c r="A12" s="66">
        <f>'Исходные данные'!B19</f>
        <v>0</v>
      </c>
      <c r="B12" s="99" t="s">
        <v>138</v>
      </c>
      <c r="C12" s="103" t="s">
        <v>9</v>
      </c>
      <c r="D12" s="79">
        <v>556.5</v>
      </c>
      <c r="E12" s="99">
        <v>42.7</v>
      </c>
      <c r="F12" s="99">
        <v>1</v>
      </c>
      <c r="G12" s="67">
        <f>'Исходные данные'!S19*2</f>
        <v>0</v>
      </c>
      <c r="H12" s="9"/>
      <c r="I12" s="194">
        <f>IF(AND('Исходные данные'!F19=3,'Исходные данные'!J19=1),IF('Исходные данные'!H19&lt;450,100,IF('Исходные данные'!H19&gt;=450,135,0)),IF(AND('Исходные данные'!F19=3,'Исходные данные'!J19=2),IF('Исходные данные'!H19&lt;450,100,IF('Исходные данные'!H19&gt;=450,135,0)),IF(AND('Исходные данные'!F19=1,'Исходные данные'!J19=1),IF(AND('Исходные данные'!H19&gt;250,'Исходные данные'!H19&lt;450),30,IF('Исходные данные'!H19&gt;=450,130,0)),IF(AND('Исходные данные'!F19=1,'Исходные данные'!J19=2),IF(AND('Исходные данные'!H19&gt;=240,'Исходные данные'!H19&lt;390),0,IF(AND('Исходные данные'!H19&gt;=390,'Исходные данные'!H19&lt;430),80,IF('Исходные данные'!H19&gt;=430,120,0))),0))))</f>
        <v>0</v>
      </c>
      <c r="J12" s="87"/>
      <c r="K12" s="87"/>
      <c r="L12" s="87"/>
      <c r="M12" s="87"/>
      <c r="N12" s="3">
        <f t="shared" si="0"/>
        <v>0</v>
      </c>
      <c r="O12" s="3">
        <f t="shared" si="1"/>
        <v>0</v>
      </c>
      <c r="P12" s="3">
        <f t="shared" si="2"/>
        <v>0</v>
      </c>
      <c r="Q12" s="3">
        <f t="shared" si="3"/>
        <v>0</v>
      </c>
      <c r="S12" s="77">
        <f>IF(AND('Исходные данные'!F19=3,'Исходные данные'!J19=1),IF('Исходные данные'!H19&lt;450,100,IF('Исходные данные'!H19&gt;=450,135,0)),0)</f>
        <v>0</v>
      </c>
      <c r="T12" s="77">
        <f>IF(AND('Исходные данные'!F19=3,'Исходные данные'!J19=2),IF('Исходные данные'!H19&lt;450,100,IF('Исходные данные'!H19&gt;=450,135,0)),0)</f>
        <v>0</v>
      </c>
      <c r="U12" s="77">
        <f>IF(AND('Исходные данные'!F19=1,'Исходные данные'!J19=1),IF(AND('Исходные данные'!H19&gt;250,'Исходные данные'!H19&lt;450),30,IF('Исходные данные'!H19&gt;=450,130,0)),0)</f>
        <v>0</v>
      </c>
      <c r="V12" s="77">
        <f>IF(AND('Исходные данные'!F19=1,'Исходные данные'!J19=2),IF(AND('Исходные данные'!H19&gt;=240,'Исходные данные'!H19&lt;390),0,IF(AND('Исходные данные'!H19&gt;=390,'Исходные данные'!H19&lt;430),80,IF('Исходные данные'!H19&gt;=430,120,0))),0)</f>
        <v>0</v>
      </c>
    </row>
    <row r="13" spans="1:22" s="3" customFormat="1" ht="22.5">
      <c r="A13" s="66">
        <f>'Исходные данные'!B20</f>
        <v>0</v>
      </c>
      <c r="B13" s="99" t="s">
        <v>138</v>
      </c>
      <c r="C13" s="103" t="s">
        <v>9</v>
      </c>
      <c r="D13" s="79">
        <v>506.5</v>
      </c>
      <c r="E13" s="99">
        <v>42.7</v>
      </c>
      <c r="F13" s="99">
        <v>1</v>
      </c>
      <c r="G13" s="67">
        <f>'Исходные данные'!S20*2</f>
        <v>0</v>
      </c>
      <c r="H13" s="9"/>
      <c r="I13" s="194">
        <f>IF(AND('Исходные данные'!F20=3,'Исходные данные'!J20=1),IF('Исходные данные'!H20&lt;450,100,IF('Исходные данные'!H20&gt;=450,135,0)),IF(AND('Исходные данные'!F20=3,'Исходные данные'!J20=2),IF('Исходные данные'!H20&lt;450,100,IF('Исходные данные'!H20&gt;=450,135,0)),IF(AND('Исходные данные'!F20=1,'Исходные данные'!J20=1),IF(AND('Исходные данные'!H20&gt;250,'Исходные данные'!H20&lt;450),30,IF('Исходные данные'!H20&gt;=450,130,0)),IF(AND('Исходные данные'!F20=1,'Исходные данные'!J20=2),IF(AND('Исходные данные'!H20&gt;=240,'Исходные данные'!H20&lt;390),0,IF(AND('Исходные данные'!H20&gt;=390,'Исходные данные'!H20&lt;430),80,IF('Исходные данные'!H20&gt;=430,120,0))),0))))</f>
        <v>0</v>
      </c>
      <c r="J13" s="87"/>
      <c r="K13" s="87"/>
      <c r="L13" s="87"/>
      <c r="M13" s="87"/>
      <c r="N13" s="3">
        <f t="shared" si="0"/>
        <v>0</v>
      </c>
      <c r="O13" s="3">
        <f t="shared" si="1"/>
        <v>0</v>
      </c>
      <c r="P13" s="3">
        <f t="shared" si="2"/>
        <v>0</v>
      </c>
      <c r="Q13" s="3">
        <f t="shared" si="3"/>
        <v>0</v>
      </c>
      <c r="S13" s="77">
        <f>IF(AND('Исходные данные'!F20=3,'Исходные данные'!J20=1),IF('Исходные данные'!H20&lt;450,100,IF('Исходные данные'!H20&gt;=450,135,0)),0)</f>
        <v>0</v>
      </c>
      <c r="T13" s="77">
        <f>IF(AND('Исходные данные'!F20=3,'Исходные данные'!J20=2),IF('Исходные данные'!H20&lt;450,100,IF('Исходные данные'!H20&gt;=450,135,0)),0)</f>
        <v>0</v>
      </c>
      <c r="U13" s="77">
        <f>IF(AND('Исходные данные'!F20=1,'Исходные данные'!J20=1),IF(AND('Исходные данные'!H20&gt;250,'Исходные данные'!H20&lt;450),30,IF('Исходные данные'!H20&gt;=450,130,0)),0)</f>
        <v>0</v>
      </c>
      <c r="V13" s="77">
        <f>IF(AND('Исходные данные'!F20=1,'Исходные данные'!J20=2),IF(AND('Исходные данные'!H20&gt;=240,'Исходные данные'!H20&lt;390),0,IF(AND('Исходные данные'!H20&gt;=390,'Исходные данные'!H20&lt;430),80,IF('Исходные данные'!H20&gt;=430,120,0))),0)</f>
        <v>0</v>
      </c>
    </row>
    <row r="14" spans="1:22" s="3" customFormat="1">
      <c r="A14" s="66">
        <f>'Исходные данные'!B21</f>
        <v>0</v>
      </c>
      <c r="B14" s="99"/>
      <c r="C14" s="103"/>
      <c r="D14" s="79"/>
      <c r="E14" s="99"/>
      <c r="F14" s="99"/>
      <c r="G14" s="67"/>
      <c r="H14" s="9"/>
      <c r="I14" s="194">
        <f>IF(AND('Исходные данные'!F21=3,'Исходные данные'!J21=1),IF('Исходные данные'!H21&lt;450,100,IF('Исходные данные'!H21&gt;=450,135,0)),IF(AND('Исходные данные'!F21=3,'Исходные данные'!J21=2),IF('Исходные данные'!H21&lt;450,100,IF('Исходные данные'!H21&gt;=450,135,0)),IF(AND('Исходные данные'!F21=1,'Исходные данные'!J21=1),IF(AND('Исходные данные'!H21&gt;250,'Исходные данные'!H21&lt;450),30,IF('Исходные данные'!H21&gt;=450,130,0)),IF(AND('Исходные данные'!F21=1,'Исходные данные'!J21=2),IF(AND('Исходные данные'!H21&gt;=240,'Исходные данные'!H21&lt;390),0,IF(AND('Исходные данные'!H21&gt;=390,'Исходные данные'!H21&lt;430),80,IF('Исходные данные'!H21&gt;=430,120,0))),0))))</f>
        <v>0</v>
      </c>
      <c r="J14" s="87"/>
      <c r="K14" s="87"/>
      <c r="L14" s="87"/>
      <c r="M14" s="87"/>
      <c r="N14" s="3">
        <f t="shared" si="0"/>
        <v>0</v>
      </c>
      <c r="O14" s="3">
        <f t="shared" si="1"/>
        <v>0</v>
      </c>
      <c r="P14" s="3">
        <f t="shared" si="2"/>
        <v>0</v>
      </c>
      <c r="Q14" s="3">
        <f t="shared" si="3"/>
        <v>0</v>
      </c>
      <c r="S14" s="77">
        <f>IF(AND('Исходные данные'!F21=3,'Исходные данные'!J21=1),IF('Исходные данные'!H21&lt;450,100,IF('Исходные данные'!H21&gt;=450,135,0)),0)</f>
        <v>0</v>
      </c>
      <c r="T14" s="77">
        <f>IF(AND('Исходные данные'!F21=3,'Исходные данные'!J21=2),IF('Исходные данные'!H21&lt;450,100,IF('Исходные данные'!H21&gt;=450,135,0)),0)</f>
        <v>0</v>
      </c>
      <c r="U14" s="77">
        <f>IF(AND('Исходные данные'!F21=1,'Исходные данные'!J21=1),IF(AND('Исходные данные'!H21&gt;250,'Исходные данные'!H21&lt;450),30,IF('Исходные данные'!H21&gt;=450,130,0)),0)</f>
        <v>0</v>
      </c>
      <c r="V14" s="77">
        <f>IF(AND('Исходные данные'!F21=1,'Исходные данные'!J21=2),IF(AND('Исходные данные'!H21&gt;=240,'Исходные данные'!H21&lt;390),0,IF(AND('Исходные данные'!H21&gt;=390,'Исходные данные'!H21&lt;430),80,IF('Исходные данные'!H21&gt;=430,120,0))),0)</f>
        <v>0</v>
      </c>
    </row>
    <row r="15" spans="1:22" s="3" customFormat="1">
      <c r="A15" s="66">
        <f>'Исходные данные'!B22</f>
        <v>0</v>
      </c>
      <c r="B15" s="99"/>
      <c r="C15" s="103"/>
      <c r="D15" s="79"/>
      <c r="E15" s="99"/>
      <c r="F15" s="99"/>
      <c r="G15" s="67"/>
      <c r="H15" s="9"/>
      <c r="I15" s="194">
        <f>IF(AND('Исходные данные'!F22=3,'Исходные данные'!J22=1),IF('Исходные данные'!H22&lt;450,100,IF('Исходные данные'!H22&gt;=450,135,0)),IF(AND('Исходные данные'!F22=3,'Исходные данные'!J22=2),IF('Исходные данные'!H22&lt;450,100,IF('Исходные данные'!H22&gt;=450,135,0)),IF(AND('Исходные данные'!F22=1,'Исходные данные'!J22=1),IF(AND('Исходные данные'!H22&gt;250,'Исходные данные'!H22&lt;450),30,IF('Исходные данные'!H22&gt;=450,130,0)),IF(AND('Исходные данные'!F22=1,'Исходные данные'!J22=2),IF(AND('Исходные данные'!H22&gt;=240,'Исходные данные'!H22&lt;390),0,IF(AND('Исходные данные'!H22&gt;=390,'Исходные данные'!H22&lt;430),80,IF('Исходные данные'!H22&gt;=430,120,0))),0))))</f>
        <v>0</v>
      </c>
      <c r="J15" s="87"/>
      <c r="K15" s="87"/>
      <c r="L15" s="87"/>
      <c r="M15" s="87"/>
      <c r="N15" s="3">
        <f t="shared" si="0"/>
        <v>0</v>
      </c>
      <c r="O15" s="3">
        <f t="shared" si="1"/>
        <v>0</v>
      </c>
      <c r="P15" s="3">
        <f t="shared" si="2"/>
        <v>0</v>
      </c>
      <c r="Q15" s="3">
        <f t="shared" si="3"/>
        <v>0</v>
      </c>
      <c r="S15" s="77">
        <f>IF(AND('Исходные данные'!F22=3,'Исходные данные'!J22=1),IF('Исходные данные'!H22&lt;450,100,IF('Исходные данные'!H22&gt;=450,135,0)),0)</f>
        <v>0</v>
      </c>
      <c r="T15" s="77">
        <f>IF(AND('Исходные данные'!F22=3,'Исходные данные'!J22=2),IF('Исходные данные'!H22&lt;450,100,IF('Исходные данные'!H22&gt;=450,135,0)),0)</f>
        <v>0</v>
      </c>
      <c r="U15" s="77">
        <f>IF(AND('Исходные данные'!F22=1,'Исходные данные'!J22=1),IF(AND('Исходные данные'!H22&gt;250,'Исходные данные'!H22&lt;450),30,IF('Исходные данные'!H22&gt;=450,130,0)),0)</f>
        <v>0</v>
      </c>
      <c r="V15" s="77">
        <f>IF(AND('Исходные данные'!F22=1,'Исходные данные'!J22=2),IF(AND('Исходные данные'!H22&gt;=240,'Исходные данные'!H22&lt;390),0,IF(AND('Исходные данные'!H22&gt;=390,'Исходные данные'!H22&lt;430),80,IF('Исходные данные'!H22&gt;=430,120,0))),0)</f>
        <v>0</v>
      </c>
    </row>
    <row r="16" spans="1:22" s="3" customFormat="1">
      <c r="A16" s="66">
        <f>'Исходные данные'!B23</f>
        <v>0</v>
      </c>
      <c r="B16" s="67">
        <f>IF('Исходные данные'!F23=3,"183.00.00.004-01",IF('Исходные данные'!F23=1,"0148.10.005-01",0))</f>
        <v>0</v>
      </c>
      <c r="C16" s="9"/>
      <c r="D16" s="79">
        <f>IF(AND('Исходные данные'!F23=3,'Исходные данные'!J23=1),I16-40,IF(AND('Исходные данные'!F23=3,'Исходные данные'!J23=2),I16-40,IF(AND('Исходные данные'!F23=1,'Исходные данные'!J23=1),I16-24,IF(AND('Исходные данные'!F23=1,'Исходные данные'!J23=2),I16,0))))</f>
        <v>0</v>
      </c>
      <c r="E16" s="67">
        <f>IF('Исходные данные'!F23=3,33,IF('Исходные данные'!F23=1,34,0))</f>
        <v>0</v>
      </c>
      <c r="F16" s="67">
        <v>0.7</v>
      </c>
      <c r="G16" s="67">
        <f>'Исходные данные'!S23*2</f>
        <v>0</v>
      </c>
      <c r="H16" s="9"/>
      <c r="I16" s="194">
        <f>IF(AND('Исходные данные'!F23=3,'Исходные данные'!J23=1),IF('Исходные данные'!H23&lt;450,100,IF('Исходные данные'!H23&gt;=450,135,0)),IF(AND('Исходные данные'!F23=3,'Исходные данные'!J23=2),IF('Исходные данные'!H23&lt;450,100,IF('Исходные данные'!H23&gt;=450,135,0)),IF(AND('Исходные данные'!F23=1,'Исходные данные'!J23=1),IF(AND('Исходные данные'!H23&gt;250,'Исходные данные'!H23&lt;450),30,IF('Исходные данные'!H23&gt;=450,130,0)),IF(AND('Исходные данные'!F23=1,'Исходные данные'!J23=2),IF(AND('Исходные данные'!H23&gt;=240,'Исходные данные'!H23&lt;390),0,IF(AND('Исходные данные'!H23&gt;=390,'Исходные данные'!H23&lt;430),80,IF('Исходные данные'!H23&gt;=430,120,0))),0))))</f>
        <v>0</v>
      </c>
      <c r="J16" s="87"/>
      <c r="K16" s="87"/>
      <c r="L16" s="87"/>
      <c r="M16" s="87"/>
      <c r="N16" s="3">
        <f t="shared" si="0"/>
        <v>0</v>
      </c>
      <c r="O16" s="3">
        <f t="shared" si="1"/>
        <v>0</v>
      </c>
      <c r="P16" s="3">
        <f t="shared" si="2"/>
        <v>0</v>
      </c>
      <c r="Q16" s="3">
        <f t="shared" si="3"/>
        <v>0</v>
      </c>
      <c r="S16" s="77">
        <f>IF(AND('Исходные данные'!F23=3,'Исходные данные'!J23=1),IF('Исходные данные'!H23&lt;450,100,IF('Исходные данные'!H23&gt;=450,135,0)),0)</f>
        <v>0</v>
      </c>
      <c r="T16" s="77">
        <f>IF(AND('Исходные данные'!F23=3,'Исходные данные'!J23=2),IF('Исходные данные'!H23&lt;450,100,IF('Исходные данные'!H23&gt;=450,135,0)),0)</f>
        <v>0</v>
      </c>
      <c r="U16" s="77">
        <f>IF(AND('Исходные данные'!F23=1,'Исходные данные'!J23=1),IF(AND('Исходные данные'!H23&gt;250,'Исходные данные'!H23&lt;450),30,IF('Исходные данные'!H23&gt;=450,130,0)),0)</f>
        <v>0</v>
      </c>
      <c r="V16" s="77">
        <f>IF(AND('Исходные данные'!F23=1,'Исходные данные'!J23=2),IF(AND('Исходные данные'!H23&gt;=240,'Исходные данные'!H23&lt;390),0,IF(AND('Исходные данные'!H23&gt;=390,'Исходные данные'!H23&lt;430),80,IF('Исходные данные'!H23&gt;=430,120,0))),0)</f>
        <v>0</v>
      </c>
    </row>
    <row r="17" spans="1:22" s="3" customFormat="1">
      <c r="A17" s="66">
        <f>'Исходные данные'!B24</f>
        <v>0</v>
      </c>
      <c r="B17" s="67">
        <f>IF('Исходные данные'!F24=3,"183.00.00.004-01",IF('Исходные данные'!F24=1,"0148.10.005-01",0))</f>
        <v>0</v>
      </c>
      <c r="C17" s="9"/>
      <c r="D17" s="79">
        <f>IF(AND('Исходные данные'!F24=3,'Исходные данные'!J24=1),I17-40,IF(AND('Исходные данные'!F24=3,'Исходные данные'!J24=2),I17-40,IF(AND('Исходные данные'!F24=1,'Исходные данные'!J24=1),I17-24,IF(AND('Исходные данные'!F24=1,'Исходные данные'!J24=2),I17,0))))</f>
        <v>0</v>
      </c>
      <c r="E17" s="67">
        <f>IF('Исходные данные'!F24=3,33,IF('Исходные данные'!F24=1,34,0))</f>
        <v>0</v>
      </c>
      <c r="F17" s="67">
        <v>0.7</v>
      </c>
      <c r="G17" s="67">
        <f>'Исходные данные'!S24*2</f>
        <v>0</v>
      </c>
      <c r="H17" s="9"/>
      <c r="I17" s="194">
        <f>IF(AND('Исходные данные'!F24=3,'Исходные данные'!J24=1),IF('Исходные данные'!H24&lt;450,100,IF('Исходные данные'!H24&gt;=450,135,0)),IF(AND('Исходные данные'!F24=3,'Исходные данные'!J24=2),IF('Исходные данные'!H24&lt;450,100,IF('Исходные данные'!H24&gt;=450,135,0)),IF(AND('Исходные данные'!F24=1,'Исходные данные'!J24=1),IF(AND('Исходные данные'!H24&gt;250,'Исходные данные'!H24&lt;450),30,IF('Исходные данные'!H24&gt;=450,130,0)),IF(AND('Исходные данные'!F24=1,'Исходные данные'!J24=2),IF(AND('Исходные данные'!H24&gt;=240,'Исходные данные'!H24&lt;390),0,IF(AND('Исходные данные'!H24&gt;=390,'Исходные данные'!H24&lt;430),80,IF('Исходные данные'!H24&gt;=430,120,0))),0))))</f>
        <v>0</v>
      </c>
      <c r="J17" s="87"/>
      <c r="K17" s="87"/>
      <c r="L17" s="87"/>
      <c r="M17" s="87"/>
      <c r="N17" s="3">
        <f t="shared" si="0"/>
        <v>0</v>
      </c>
      <c r="O17" s="3">
        <f t="shared" si="1"/>
        <v>0</v>
      </c>
      <c r="P17" s="3">
        <f t="shared" si="2"/>
        <v>0</v>
      </c>
      <c r="Q17" s="3">
        <f t="shared" si="3"/>
        <v>0</v>
      </c>
      <c r="S17" s="77">
        <f>IF(AND('Исходные данные'!F24=3,'Исходные данные'!J24=1),IF('Исходные данные'!H24&lt;450,100,IF('Исходные данные'!H24&gt;=450,135,0)),0)</f>
        <v>0</v>
      </c>
      <c r="T17" s="77">
        <f>IF(AND('Исходные данные'!F24=3,'Исходные данные'!J24=2),IF('Исходные данные'!H24&lt;450,100,IF('Исходные данные'!H24&gt;=450,135,0)),0)</f>
        <v>0</v>
      </c>
      <c r="U17" s="77">
        <f>IF(AND('Исходные данные'!F24=1,'Исходные данные'!J24=1),IF(AND('Исходные данные'!H24&gt;250,'Исходные данные'!H24&lt;450),30,IF('Исходные данные'!H24&gt;=450,130,0)),0)</f>
        <v>0</v>
      </c>
      <c r="V17" s="77">
        <f>IF(AND('Исходные данные'!F24=1,'Исходные данные'!J24=2),IF(AND('Исходные данные'!H24&gt;=240,'Исходные данные'!H24&lt;390),0,IF(AND('Исходные данные'!H24&gt;=390,'Исходные данные'!H24&lt;430),80,IF('Исходные данные'!H24&gt;=430,120,0))),0)</f>
        <v>0</v>
      </c>
    </row>
    <row r="18" spans="1:22" s="3" customFormat="1">
      <c r="A18" s="66">
        <f>'Исходные данные'!B25</f>
        <v>0</v>
      </c>
      <c r="B18" s="67">
        <f>IF('Исходные данные'!F25=3,"183.00.00.004-01",IF('Исходные данные'!F25=1,"0148.10.005-01",0))</f>
        <v>0</v>
      </c>
      <c r="C18" s="9"/>
      <c r="D18" s="79">
        <f>IF(AND('Исходные данные'!F25=3,'Исходные данные'!J25=1),I18-40,IF(AND('Исходные данные'!F25=3,'Исходные данные'!J25=2),I18-40,IF(AND('Исходные данные'!F25=1,'Исходные данные'!J25=1),I18-24,IF(AND('Исходные данные'!F25=1,'Исходные данные'!J25=2),I18,0))))</f>
        <v>0</v>
      </c>
      <c r="E18" s="67">
        <f>IF('Исходные данные'!F25=3,33,IF('Исходные данные'!F25=1,34,0))</f>
        <v>0</v>
      </c>
      <c r="F18" s="67">
        <v>0.7</v>
      </c>
      <c r="G18" s="67">
        <f>'Исходные данные'!S25*2</f>
        <v>0</v>
      </c>
      <c r="H18" s="9"/>
      <c r="I18" s="194">
        <f>IF(AND('Исходные данные'!F25=3,'Исходные данные'!J25=1),IF('Исходные данные'!H25&lt;450,100,IF('Исходные данные'!H25&gt;=450,135,0)),IF(AND('Исходные данные'!F25=3,'Исходные данные'!J25=2),IF('Исходные данные'!H25&lt;450,100,IF('Исходные данные'!H25&gt;=450,135,0)),IF(AND('Исходные данные'!F25=1,'Исходные данные'!J25=1),IF(AND('Исходные данные'!H25&gt;250,'Исходные данные'!H25&lt;450),30,IF('Исходные данные'!H25&gt;=450,130,0)),IF(AND('Исходные данные'!F25=1,'Исходные данные'!J25=2),IF(AND('Исходные данные'!H25&gt;=240,'Исходные данные'!H25&lt;390),0,IF(AND('Исходные данные'!H25&gt;=390,'Исходные данные'!H25&lt;430),80,IF('Исходные данные'!H25&gt;=430,120,0))),0))))</f>
        <v>0</v>
      </c>
      <c r="J18" s="87"/>
      <c r="K18" s="87"/>
      <c r="L18" s="87"/>
      <c r="M18" s="87"/>
      <c r="N18" s="3">
        <f t="shared" si="0"/>
        <v>0</v>
      </c>
      <c r="O18" s="3">
        <f t="shared" si="1"/>
        <v>0</v>
      </c>
      <c r="P18" s="3">
        <f t="shared" si="2"/>
        <v>0</v>
      </c>
      <c r="Q18" s="3">
        <f t="shared" si="3"/>
        <v>0</v>
      </c>
      <c r="S18" s="77">
        <f>IF(AND('Исходные данные'!F25=3,'Исходные данные'!J25=1),IF('Исходные данные'!H25&lt;450,100,IF('Исходные данные'!H25&gt;=450,135,0)),0)</f>
        <v>0</v>
      </c>
      <c r="T18" s="77">
        <f>IF(AND('Исходные данные'!F25=3,'Исходные данные'!J25=2),IF('Исходные данные'!H25&lt;450,100,IF('Исходные данные'!H25&gt;=450,135,0)),0)</f>
        <v>0</v>
      </c>
      <c r="U18" s="77">
        <f>IF(AND('Исходные данные'!F25=1,'Исходные данные'!J25=1),IF(AND('Исходные данные'!H25&gt;250,'Исходные данные'!H25&lt;450),30,IF('Исходные данные'!H25&gt;=450,130,0)),0)</f>
        <v>0</v>
      </c>
      <c r="V18" s="77">
        <f>IF(AND('Исходные данные'!F25=1,'Исходные данные'!J25=2),IF(AND('Исходные данные'!H25&gt;=240,'Исходные данные'!H25&lt;390),0,IF(AND('Исходные данные'!H25&gt;=390,'Исходные данные'!H25&lt;430),80,IF('Исходные данные'!H25&gt;=430,120,0))),0)</f>
        <v>0</v>
      </c>
    </row>
    <row r="19" spans="1:22" s="3" customFormat="1">
      <c r="A19" s="66">
        <f>'Исходные данные'!B26</f>
        <v>0</v>
      </c>
      <c r="B19" s="67">
        <f>IF('Исходные данные'!F26=3,"183.00.00.004-01",IF('Исходные данные'!F26=1,"0148.10.005-01",0))</f>
        <v>0</v>
      </c>
      <c r="C19" s="9"/>
      <c r="D19" s="79">
        <f>IF(AND('Исходные данные'!F26=3,'Исходные данные'!J26=1),I19-40,IF(AND('Исходные данные'!F26=3,'Исходные данные'!J26=2),I19-40,IF(AND('Исходные данные'!F26=1,'Исходные данные'!J26=1),I19-24,IF(AND('Исходные данные'!F26=1,'Исходные данные'!J26=2),I19,0))))</f>
        <v>0</v>
      </c>
      <c r="E19" s="67">
        <f>IF('Исходные данные'!F26=3,33,IF('Исходные данные'!F26=1,34,0))</f>
        <v>0</v>
      </c>
      <c r="F19" s="67">
        <v>0.7</v>
      </c>
      <c r="G19" s="67">
        <f>'Исходные данные'!S26*2</f>
        <v>0</v>
      </c>
      <c r="H19" s="9"/>
      <c r="I19" s="194">
        <f>IF(AND('Исходные данные'!F26=3,'Исходные данные'!J26=1),IF('Исходные данные'!H26&lt;450,100,IF('Исходные данные'!H26&gt;=450,135,0)),IF(AND('Исходные данные'!F26=3,'Исходные данные'!J26=2),IF('Исходные данные'!H26&lt;450,100,IF('Исходные данные'!H26&gt;=450,135,0)),IF(AND('Исходные данные'!F26=1,'Исходные данные'!J26=1),IF(AND('Исходные данные'!H26&gt;250,'Исходные данные'!H26&lt;450),30,IF('Исходные данные'!H26&gt;=450,130,0)),IF(AND('Исходные данные'!F26=1,'Исходные данные'!J26=2),IF(AND('Исходные данные'!H26&gt;=240,'Исходные данные'!H26&lt;390),0,IF(AND('Исходные данные'!H26&gt;=390,'Исходные данные'!H26&lt;430),80,IF('Исходные данные'!H26&gt;=430,120,0))),0))))</f>
        <v>0</v>
      </c>
      <c r="J19" s="87"/>
      <c r="K19" s="87"/>
      <c r="L19" s="87"/>
      <c r="M19" s="87"/>
      <c r="N19" s="3">
        <f t="shared" si="0"/>
        <v>0</v>
      </c>
      <c r="O19" s="3">
        <f t="shared" si="1"/>
        <v>0</v>
      </c>
      <c r="P19" s="3">
        <f t="shared" si="2"/>
        <v>0</v>
      </c>
      <c r="Q19" s="3">
        <f t="shared" si="3"/>
        <v>0</v>
      </c>
      <c r="S19" s="77">
        <f>IF(AND('Исходные данные'!F26=3,'Исходные данные'!J26=1),IF('Исходные данные'!H26&lt;450,100,IF('Исходные данные'!H26&gt;=450,135,0)),0)</f>
        <v>0</v>
      </c>
      <c r="T19" s="77">
        <f>IF(AND('Исходные данные'!F26=3,'Исходные данные'!J26=2),IF('Исходные данные'!H26&lt;450,100,IF('Исходные данные'!H26&gt;=450,135,0)),0)</f>
        <v>0</v>
      </c>
      <c r="U19" s="77">
        <f>IF(AND('Исходные данные'!F26=1,'Исходные данные'!J26=1),IF(AND('Исходные данные'!H26&gt;250,'Исходные данные'!H26&lt;450),30,IF('Исходные данные'!H26&gt;=450,130,0)),0)</f>
        <v>0</v>
      </c>
      <c r="V19" s="77">
        <f>IF(AND('Исходные данные'!F26=1,'Исходные данные'!J26=2),IF(AND('Исходные данные'!H26&gt;=240,'Исходные данные'!H26&lt;390),0,IF(AND('Исходные данные'!H26&gt;=390,'Исходные данные'!H26&lt;430),80,IF('Исходные данные'!H26&gt;=430,120,0))),0)</f>
        <v>0</v>
      </c>
    </row>
    <row r="20" spans="1:22" s="3" customFormat="1">
      <c r="A20" s="66">
        <f>'Исходные данные'!B27</f>
        <v>0</v>
      </c>
      <c r="B20" s="67">
        <f>IF('Исходные данные'!F27=3,"183.00.00.004-01",IF('Исходные данные'!F27=1,"0148.10.005-01",0))</f>
        <v>0</v>
      </c>
      <c r="C20" s="9"/>
      <c r="D20" s="79">
        <f>IF(AND('Исходные данные'!F27=3,'Исходные данные'!J27=1),I20-40,IF(AND('Исходные данные'!F27=3,'Исходные данные'!J27=2),I20-40,IF(AND('Исходные данные'!F27=1,'Исходные данные'!J27=1),I20-24,IF(AND('Исходные данные'!F27=1,'Исходные данные'!J27=2),I20,0))))</f>
        <v>0</v>
      </c>
      <c r="E20" s="67">
        <f>IF('Исходные данные'!F27=3,33,IF('Исходные данные'!F27=1,34,0))</f>
        <v>0</v>
      </c>
      <c r="F20" s="67">
        <v>0.7</v>
      </c>
      <c r="G20" s="67">
        <f>'Исходные данные'!S27*2</f>
        <v>0</v>
      </c>
      <c r="H20" s="9"/>
      <c r="I20" s="194">
        <f>IF(AND('Исходные данные'!F27=3,'Исходные данные'!J27=1),IF('Исходные данные'!H27&lt;450,100,IF('Исходные данные'!H27&gt;=450,135,0)),IF(AND('Исходные данные'!F27=3,'Исходные данные'!J27=2),IF('Исходные данные'!H27&lt;450,100,IF('Исходные данные'!H27&gt;=450,135,0)),IF(AND('Исходные данные'!F27=1,'Исходные данные'!J27=1),IF(AND('Исходные данные'!H27&gt;250,'Исходные данные'!H27&lt;450),30,IF('Исходные данные'!H27&gt;=450,130,0)),IF(AND('Исходные данные'!F27=1,'Исходные данные'!J27=2),IF(AND('Исходные данные'!H27&gt;=240,'Исходные данные'!H27&lt;390),0,IF(AND('Исходные данные'!H27&gt;=390,'Исходные данные'!H27&lt;430),80,IF('Исходные данные'!H27&gt;=430,120,0))),0))))</f>
        <v>0</v>
      </c>
      <c r="J20" s="87"/>
      <c r="K20" s="87"/>
      <c r="L20" s="87"/>
      <c r="M20" s="87"/>
      <c r="N20" s="3">
        <f t="shared" si="0"/>
        <v>0</v>
      </c>
      <c r="O20" s="3">
        <f t="shared" si="1"/>
        <v>0</v>
      </c>
      <c r="P20" s="3">
        <f t="shared" si="2"/>
        <v>0</v>
      </c>
      <c r="Q20" s="3">
        <f t="shared" si="3"/>
        <v>0</v>
      </c>
      <c r="S20" s="77">
        <f>IF(AND('Исходные данные'!F27=3,'Исходные данные'!J27=1),IF('Исходные данные'!H27&lt;450,100,IF('Исходные данные'!H27&gt;=450,135,0)),0)</f>
        <v>0</v>
      </c>
      <c r="T20" s="77">
        <f>IF(AND('Исходные данные'!F27=3,'Исходные данные'!J27=2),IF('Исходные данные'!H27&lt;450,100,IF('Исходные данные'!H27&gt;=450,135,0)),0)</f>
        <v>0</v>
      </c>
      <c r="U20" s="77">
        <f>IF(AND('Исходные данные'!F27=1,'Исходные данные'!J27=1),IF(AND('Исходные данные'!H27&gt;250,'Исходные данные'!H27&lt;450),30,IF('Исходные данные'!H27&gt;=450,130,0)),0)</f>
        <v>0</v>
      </c>
      <c r="V20" s="77">
        <f>IF(AND('Исходные данные'!F27=1,'Исходные данные'!J27=2),IF(AND('Исходные данные'!H27&gt;=240,'Исходные данные'!H27&lt;390),0,IF(AND('Исходные данные'!H27&gt;=390,'Исходные данные'!H27&lt;430),80,IF('Исходные данные'!H27&gt;=430,120,0))),0)</f>
        <v>0</v>
      </c>
    </row>
    <row r="21" spans="1:22" s="3" customFormat="1">
      <c r="A21" s="66">
        <f>'Исходные данные'!B28</f>
        <v>0</v>
      </c>
      <c r="B21" s="67">
        <f>IF('Исходные данные'!F28=3,"183.00.00.004-01",IF('Исходные данные'!F28=1,"0148.10.005-01",0))</f>
        <v>0</v>
      </c>
      <c r="C21" s="9"/>
      <c r="D21" s="79">
        <f>IF(AND('Исходные данные'!F28=3,'Исходные данные'!J28=1),I21-40,IF(AND('Исходные данные'!F28=3,'Исходные данные'!J28=2),I21-40,IF(AND('Исходные данные'!F28=1,'Исходные данные'!J28=1),I21-24,IF(AND('Исходные данные'!F28=1,'Исходные данные'!J28=2),I21,0))))</f>
        <v>0</v>
      </c>
      <c r="E21" s="67">
        <f>IF('Исходные данные'!F28=3,33,IF('Исходные данные'!F28=1,34,0))</f>
        <v>0</v>
      </c>
      <c r="F21" s="67">
        <v>0.7</v>
      </c>
      <c r="G21" s="67">
        <f>'Исходные данные'!S28*2</f>
        <v>0</v>
      </c>
      <c r="H21" s="9"/>
      <c r="I21" s="194">
        <f>IF(AND('Исходные данные'!F28=3,'Исходные данные'!J28=1),IF('Исходные данные'!H28&lt;450,100,IF('Исходные данные'!H28&gt;=450,135,0)),IF(AND('Исходные данные'!F28=3,'Исходные данные'!J28=2),IF('Исходные данные'!H28&lt;450,100,IF('Исходные данные'!H28&gt;=450,135,0)),IF(AND('Исходные данные'!F28=1,'Исходные данные'!J28=1),IF(AND('Исходные данные'!H28&gt;250,'Исходные данные'!H28&lt;450),30,IF('Исходные данные'!H28&gt;=450,130,0)),IF(AND('Исходные данные'!F28=1,'Исходные данные'!J28=2),IF(AND('Исходные данные'!H28&gt;=240,'Исходные данные'!H28&lt;390),0,IF(AND('Исходные данные'!H28&gt;=390,'Исходные данные'!H28&lt;430),80,IF('Исходные данные'!H28&gt;=430,120,0))),0))))</f>
        <v>0</v>
      </c>
      <c r="J21" s="87"/>
      <c r="K21" s="87"/>
      <c r="L21" s="87"/>
      <c r="M21" s="87"/>
      <c r="N21" s="3">
        <f t="shared" si="0"/>
        <v>0</v>
      </c>
      <c r="O21" s="3">
        <f t="shared" si="1"/>
        <v>0</v>
      </c>
      <c r="P21" s="3">
        <f t="shared" si="2"/>
        <v>0</v>
      </c>
      <c r="Q21" s="3">
        <f t="shared" si="3"/>
        <v>0</v>
      </c>
      <c r="S21" s="77">
        <f>IF(AND('Исходные данные'!F28=3,'Исходные данные'!J28=1),IF('Исходные данные'!H28&lt;450,100,IF('Исходные данные'!H28&gt;=450,135,0)),0)</f>
        <v>0</v>
      </c>
      <c r="T21" s="77">
        <f>IF(AND('Исходные данные'!F28=3,'Исходные данные'!J28=2),IF('Исходные данные'!H28&lt;450,100,IF('Исходные данные'!H28&gt;=450,135,0)),0)</f>
        <v>0</v>
      </c>
      <c r="U21" s="77">
        <f>IF(AND('Исходные данные'!F28=1,'Исходные данные'!J28=1),IF(AND('Исходные данные'!H28&gt;250,'Исходные данные'!H28&lt;450),30,IF('Исходные данные'!H28&gt;=450,130,0)),0)</f>
        <v>0</v>
      </c>
      <c r="V21" s="77">
        <f>IF(AND('Исходные данные'!F28=1,'Исходные данные'!J28=2),IF(AND('Исходные данные'!H28&gt;=240,'Исходные данные'!H28&lt;390),0,IF(AND('Исходные данные'!H28&gt;=390,'Исходные данные'!H28&lt;430),80,IF('Исходные данные'!H28&gt;=430,120,0))),0)</f>
        <v>0</v>
      </c>
    </row>
    <row r="22" spans="1:22" s="3" customFormat="1">
      <c r="A22" s="66">
        <f>'Исходные данные'!B29</f>
        <v>0</v>
      </c>
      <c r="B22" s="67">
        <f>IF('Исходные данные'!F29=3,"183.00.00.004-01",IF('Исходные данные'!F29=1,"0148.10.005-01",0))</f>
        <v>0</v>
      </c>
      <c r="C22" s="9"/>
      <c r="D22" s="79">
        <f>IF(AND('Исходные данные'!F29=3,'Исходные данные'!J29=1),I22-40,IF(AND('Исходные данные'!F29=3,'Исходные данные'!J29=2),I22-40,IF(AND('Исходные данные'!F29=1,'Исходные данные'!J29=1),I22-24,IF(AND('Исходные данные'!F29=1,'Исходные данные'!J29=2),I22,0))))</f>
        <v>0</v>
      </c>
      <c r="E22" s="67">
        <f>IF('Исходные данные'!F29=3,33,IF('Исходные данные'!F29=1,34,0))</f>
        <v>0</v>
      </c>
      <c r="F22" s="67">
        <v>0.7</v>
      </c>
      <c r="G22" s="67">
        <f>'Исходные данные'!S29*2</f>
        <v>0</v>
      </c>
      <c r="H22" s="9"/>
      <c r="I22" s="194">
        <f>IF(AND('Исходные данные'!F29=3,'Исходные данные'!J29=1),IF('Исходные данные'!H29&lt;450,100,IF('Исходные данные'!H29&gt;=450,135,0)),IF(AND('Исходные данные'!F29=3,'Исходные данные'!J29=2),IF('Исходные данные'!H29&lt;450,100,IF('Исходные данные'!H29&gt;=450,135,0)),IF(AND('Исходные данные'!F29=1,'Исходные данные'!J29=1),IF(AND('Исходные данные'!H29&gt;250,'Исходные данные'!H29&lt;450),30,IF('Исходные данные'!H29&gt;=450,130,0)),IF(AND('Исходные данные'!F29=1,'Исходные данные'!J29=2),IF(AND('Исходные данные'!H29&gt;=240,'Исходные данные'!H29&lt;390),0,IF(AND('Исходные данные'!H29&gt;=390,'Исходные данные'!H29&lt;430),80,IF('Исходные данные'!H29&gt;=430,120,0))),0))))</f>
        <v>0</v>
      </c>
      <c r="J22" s="87"/>
      <c r="K22" s="87"/>
      <c r="L22" s="87"/>
      <c r="M22" s="87"/>
      <c r="N22" s="3">
        <f t="shared" si="0"/>
        <v>0</v>
      </c>
      <c r="O22" s="3">
        <f t="shared" si="1"/>
        <v>0</v>
      </c>
      <c r="P22" s="3">
        <f t="shared" si="2"/>
        <v>0</v>
      </c>
      <c r="Q22" s="3">
        <f t="shared" si="3"/>
        <v>0</v>
      </c>
      <c r="S22" s="77">
        <f>IF(AND('Исходные данные'!F29=3,'Исходные данные'!J29=1),IF('Исходные данные'!H29&lt;450,100,IF('Исходные данные'!H29&gt;=450,135,0)),0)</f>
        <v>0</v>
      </c>
      <c r="T22" s="77">
        <f>IF(AND('Исходные данные'!F29=3,'Исходные данные'!J29=2),IF('Исходные данные'!H29&lt;450,100,IF('Исходные данные'!H29&gt;=450,135,0)),0)</f>
        <v>0</v>
      </c>
      <c r="U22" s="77">
        <f>IF(AND('Исходные данные'!F29=1,'Исходные данные'!J29=1),IF(AND('Исходные данные'!H29&gt;250,'Исходные данные'!H29&lt;450),30,IF('Исходные данные'!H29&gt;=450,130,0)),0)</f>
        <v>0</v>
      </c>
      <c r="V22" s="77">
        <f>IF(AND('Исходные данные'!F29=1,'Исходные данные'!J29=2),IF(AND('Исходные данные'!H29&gt;=240,'Исходные данные'!H29&lt;390),0,IF(AND('Исходные данные'!H29&gt;=390,'Исходные данные'!H29&lt;430),80,IF('Исходные данные'!H29&gt;=430,120,0))),0)</f>
        <v>0</v>
      </c>
    </row>
    <row r="23" spans="1:22" s="3" customFormat="1">
      <c r="A23" s="66">
        <f>'Исходные данные'!B30</f>
        <v>0</v>
      </c>
      <c r="B23" s="67">
        <f>IF('Исходные данные'!F30=3,"183.00.00.004-01",IF('Исходные данные'!F30=1,"0148.10.005-01",0))</f>
        <v>0</v>
      </c>
      <c r="C23" s="9"/>
      <c r="D23" s="79">
        <f>IF(AND('Исходные данные'!F30=3,'Исходные данные'!J30=1),I23-40,IF(AND('Исходные данные'!F30=3,'Исходные данные'!J30=2),I23-40,IF(AND('Исходные данные'!F30=1,'Исходные данные'!J30=1),I23-24,IF(AND('Исходные данные'!F30=1,'Исходные данные'!J30=2),I23,0))))</f>
        <v>0</v>
      </c>
      <c r="E23" s="67">
        <f>IF('Исходные данные'!F30=3,33,IF('Исходные данные'!F30=1,34,0))</f>
        <v>0</v>
      </c>
      <c r="F23" s="67">
        <v>0.7</v>
      </c>
      <c r="G23" s="67">
        <f>'Исходные данные'!S30*2</f>
        <v>0</v>
      </c>
      <c r="H23" s="9"/>
      <c r="I23" s="194">
        <f>IF(AND('Исходные данные'!F30=3,'Исходные данные'!J30=1),IF('Исходные данные'!H30&lt;450,100,IF('Исходные данные'!H30&gt;=450,135,0)),IF(AND('Исходные данные'!F30=3,'Исходные данные'!J30=2),IF('Исходные данные'!H30&lt;450,100,IF('Исходные данные'!H30&gt;=450,135,0)),IF(AND('Исходные данные'!F30=1,'Исходные данные'!J30=1),IF(AND('Исходные данные'!H30&gt;250,'Исходные данные'!H30&lt;450),30,IF('Исходные данные'!H30&gt;=450,130,0)),IF(AND('Исходные данные'!F30=1,'Исходные данные'!J30=2),IF(AND('Исходные данные'!H30&gt;=240,'Исходные данные'!H30&lt;390),0,IF(AND('Исходные данные'!H30&gt;=390,'Исходные данные'!H30&lt;430),80,IF('Исходные данные'!H30&gt;=430,120,0))),0))))</f>
        <v>0</v>
      </c>
      <c r="J23" s="87"/>
      <c r="K23" s="87"/>
      <c r="L23" s="87"/>
      <c r="M23" s="87"/>
      <c r="N23" s="3">
        <f t="shared" si="0"/>
        <v>0</v>
      </c>
      <c r="O23" s="3">
        <f t="shared" si="1"/>
        <v>0</v>
      </c>
      <c r="P23" s="3">
        <f t="shared" si="2"/>
        <v>0</v>
      </c>
      <c r="Q23" s="3">
        <f t="shared" si="3"/>
        <v>0</v>
      </c>
      <c r="S23" s="77">
        <f>IF(AND('Исходные данные'!F30=3,'Исходные данные'!J30=1),IF('Исходные данные'!H30&lt;450,100,IF('Исходные данные'!H30&gt;=450,135,0)),0)</f>
        <v>0</v>
      </c>
      <c r="T23" s="77">
        <f>IF(AND('Исходные данные'!F30=3,'Исходные данные'!J30=2),IF('Исходные данные'!H30&lt;450,100,IF('Исходные данные'!H30&gt;=450,135,0)),0)</f>
        <v>0</v>
      </c>
      <c r="U23" s="77">
        <f>IF(AND('Исходные данные'!F30=1,'Исходные данные'!J30=1),IF(AND('Исходные данные'!H30&gt;250,'Исходные данные'!H30&lt;450),30,IF('Исходные данные'!H30&gt;=450,130,0)),0)</f>
        <v>0</v>
      </c>
      <c r="V23" s="77">
        <f>IF(AND('Исходные данные'!F30=1,'Исходные данные'!J30=2),IF(AND('Исходные данные'!H30&gt;=240,'Исходные данные'!H30&lt;390),0,IF(AND('Исходные данные'!H30&gt;=390,'Исходные данные'!H30&lt;430),80,IF('Исходные данные'!H30&gt;=430,120,0))),0)</f>
        <v>0</v>
      </c>
    </row>
    <row r="24" spans="1:22" s="3" customFormat="1">
      <c r="A24" s="66">
        <f>'Исходные данные'!B31</f>
        <v>0</v>
      </c>
      <c r="B24" s="67">
        <f>IF('Исходные данные'!F31=3,"183.00.00.004-01",IF('Исходные данные'!F31=1,"0148.10.005-01",0))</f>
        <v>0</v>
      </c>
      <c r="C24" s="9"/>
      <c r="D24" s="79">
        <f>IF(AND('Исходные данные'!F31=3,'Исходные данные'!J31=1),I24-40,IF(AND('Исходные данные'!F31=3,'Исходные данные'!J31=2),I24-40,IF(AND('Исходные данные'!F31=1,'Исходные данные'!J31=1),I24-24,IF(AND('Исходные данные'!F31=1,'Исходные данные'!J31=2),I24,0))))</f>
        <v>0</v>
      </c>
      <c r="E24" s="67">
        <f>IF('Исходные данные'!F31=3,33,IF('Исходные данные'!F31=1,34,0))</f>
        <v>0</v>
      </c>
      <c r="F24" s="9"/>
      <c r="G24" s="67">
        <f>'Исходные данные'!S31*2</f>
        <v>0</v>
      </c>
      <c r="H24" s="9"/>
      <c r="I24" s="194">
        <f>IF(AND('Исходные данные'!F31=3,'Исходные данные'!J31=1),IF('Исходные данные'!H31&lt;450,100,IF('Исходные данные'!H31&gt;=450,135,0)),IF(AND('Исходные данные'!F31=3,'Исходные данные'!J31=2),IF('Исходные данные'!H31&lt;450,100,IF('Исходные данные'!H31&gt;=450,135,0)),IF(AND('Исходные данные'!F31=1,'Исходные данные'!J31=1),IF(AND('Исходные данные'!H31&gt;250,'Исходные данные'!H31&lt;450),30,IF('Исходные данные'!H31&gt;=450,130,0)),IF(AND('Исходные данные'!F31=1,'Исходные данные'!J31=2),IF(AND('Исходные данные'!H31&gt;=240,'Исходные данные'!H31&lt;390),0,IF(AND('Исходные данные'!H31&gt;=390,'Исходные данные'!H31&lt;430),80,IF('Исходные данные'!H31&gt;=430,120,0))),0))))</f>
        <v>0</v>
      </c>
      <c r="J24" s="87"/>
      <c r="K24" s="87"/>
      <c r="L24" s="87"/>
      <c r="M24" s="87"/>
      <c r="N24" s="3">
        <f t="shared" si="0"/>
        <v>0</v>
      </c>
      <c r="O24" s="3">
        <f t="shared" si="1"/>
        <v>0</v>
      </c>
      <c r="P24" s="3">
        <f t="shared" si="2"/>
        <v>0</v>
      </c>
      <c r="Q24" s="3">
        <f t="shared" si="3"/>
        <v>0</v>
      </c>
      <c r="S24" s="77">
        <f>IF(AND('Исходные данные'!F31=3,'Исходные данные'!J31=1),IF('Исходные данные'!H31&lt;450,100,IF('Исходные данные'!H31&gt;=450,135,0)),0)</f>
        <v>0</v>
      </c>
      <c r="T24" s="77">
        <f>IF(AND('Исходные данные'!F31=3,'Исходные данные'!J31=2),IF('Исходные данные'!H31&lt;450,100,IF('Исходные данные'!H31&gt;=450,135,0)),0)</f>
        <v>0</v>
      </c>
      <c r="U24" s="77">
        <f>IF(AND('Исходные данные'!F31=1,'Исходные данные'!J31=1),IF(AND('Исходные данные'!H31&gt;250,'Исходные данные'!H31&lt;450),30,IF('Исходные данные'!H31&gt;=450,130,0)),0)</f>
        <v>0</v>
      </c>
      <c r="V24" s="77">
        <f>IF(AND('Исходные данные'!F31=1,'Исходные данные'!J31=2),IF(AND('Исходные данные'!H31&gt;=240,'Исходные данные'!H31&lt;390),0,IF(AND('Исходные данные'!H31&gt;=390,'Исходные данные'!H31&lt;430),80,IF('Исходные данные'!H31&gt;=430,120,0))),0)</f>
        <v>0</v>
      </c>
    </row>
    <row r="25" spans="1:22" s="3" customFormat="1">
      <c r="A25" s="31"/>
      <c r="J25" s="84"/>
      <c r="K25" s="84"/>
      <c r="L25" s="84"/>
      <c r="M25" s="84"/>
      <c r="P25" s="3">
        <f>SUM(P10:P24)</f>
        <v>0</v>
      </c>
      <c r="Q25" s="3">
        <f>SUM(Q10:Q24)</f>
        <v>0</v>
      </c>
      <c r="S25" s="77"/>
      <c r="T25" s="77"/>
      <c r="U25" s="77"/>
      <c r="V25" s="77"/>
    </row>
    <row r="26" spans="1:22" s="3" customFormat="1">
      <c r="A26" s="31"/>
      <c r="J26" s="84"/>
      <c r="K26" s="84"/>
      <c r="L26" s="84"/>
      <c r="M26" s="84"/>
    </row>
    <row r="27" spans="1:22" s="3" customFormat="1" ht="30" customHeight="1">
      <c r="A27" s="31"/>
      <c r="B27" s="2" t="s">
        <v>40</v>
      </c>
      <c r="C27" s="2" t="s">
        <v>41</v>
      </c>
      <c r="D27" s="376" t="s">
        <v>42</v>
      </c>
      <c r="E27" s="376"/>
      <c r="F27" s="376"/>
      <c r="J27" s="84"/>
      <c r="K27" s="84"/>
      <c r="L27" s="84"/>
      <c r="M27" s="84"/>
    </row>
    <row r="28" spans="1:22" s="3" customFormat="1">
      <c r="A28" s="31"/>
      <c r="J28" s="84"/>
      <c r="K28" s="84"/>
      <c r="L28" s="84"/>
      <c r="M28" s="84"/>
    </row>
    <row r="29" spans="1:22" s="3" customFormat="1">
      <c r="A29" s="31"/>
      <c r="B29" s="2" t="s">
        <v>13</v>
      </c>
      <c r="C29" s="2" t="s">
        <v>41</v>
      </c>
      <c r="D29" s="368" t="s">
        <v>44</v>
      </c>
      <c r="E29" s="368"/>
      <c r="F29" s="368"/>
      <c r="H29" s="104">
        <v>0.51200000000000001</v>
      </c>
      <c r="J29" s="84"/>
      <c r="K29" s="84"/>
      <c r="L29" s="84"/>
      <c r="M29" s="84"/>
    </row>
    <row r="31" spans="1:22">
      <c r="A31" s="47"/>
      <c r="B31" s="47"/>
      <c r="C31" s="47"/>
      <c r="D31" s="47"/>
      <c r="E31" s="47"/>
      <c r="F31" s="47"/>
      <c r="G31" s="47"/>
      <c r="H31" s="47"/>
    </row>
    <row r="32" spans="1:22" ht="21">
      <c r="A32" s="48" t="s">
        <v>64</v>
      </c>
      <c r="B32" s="48"/>
      <c r="C32" s="48"/>
      <c r="D32" s="48"/>
      <c r="E32" s="48"/>
      <c r="F32" s="21"/>
      <c r="G32" s="21"/>
      <c r="H32" s="21"/>
    </row>
    <row r="33" spans="1:8">
      <c r="A33" s="21"/>
      <c r="B33" s="21"/>
      <c r="C33" s="21"/>
      <c r="D33" s="21"/>
      <c r="E33" s="21"/>
      <c r="F33" s="21"/>
      <c r="G33" s="21"/>
      <c r="H33" s="21"/>
    </row>
    <row r="34" spans="1:8" ht="18.75">
      <c r="A34" s="42" t="s">
        <v>73</v>
      </c>
      <c r="B34" s="42"/>
      <c r="C34" s="42"/>
      <c r="D34" s="42">
        <f>'Исходные данные'!H13</f>
        <v>2222</v>
      </c>
      <c r="E34" s="21"/>
      <c r="F34" s="42"/>
      <c r="G34" s="21"/>
      <c r="H34" s="21"/>
    </row>
    <row r="35" spans="1:8">
      <c r="A35" s="21" t="s">
        <v>78</v>
      </c>
      <c r="B35" s="21"/>
      <c r="C35" s="21"/>
      <c r="D35" s="21"/>
      <c r="E35" s="21"/>
      <c r="F35" s="21"/>
      <c r="G35" s="21"/>
      <c r="H35" s="21"/>
    </row>
    <row r="36" spans="1:8">
      <c r="A36" s="21" t="s">
        <v>65</v>
      </c>
      <c r="B36" s="21"/>
      <c r="C36" s="21"/>
      <c r="D36" s="21"/>
      <c r="E36" s="21"/>
      <c r="F36" s="21"/>
      <c r="G36" s="21"/>
      <c r="H36" s="21"/>
    </row>
    <row r="37" spans="1:8">
      <c r="A37" s="21"/>
      <c r="B37" s="21"/>
      <c r="C37" s="21"/>
      <c r="D37" s="21"/>
      <c r="E37" s="21"/>
      <c r="F37" s="21"/>
      <c r="G37" s="21"/>
      <c r="H37" s="21"/>
    </row>
    <row r="38" spans="1:8">
      <c r="A38" s="21" t="s">
        <v>40</v>
      </c>
      <c r="B38" s="21" t="s">
        <v>45</v>
      </c>
      <c r="C38" s="21"/>
      <c r="D38" s="21" t="s">
        <v>131</v>
      </c>
      <c r="E38" s="21"/>
      <c r="F38" s="21"/>
      <c r="G38" s="21"/>
      <c r="H38" s="21"/>
    </row>
    <row r="39" spans="1:8">
      <c r="A39" s="21"/>
      <c r="B39" s="21"/>
      <c r="C39" s="21"/>
      <c r="D39" s="21"/>
      <c r="E39" s="21"/>
      <c r="F39" s="21"/>
      <c r="G39" s="21"/>
      <c r="H39" s="21"/>
    </row>
    <row r="40" spans="1:8">
      <c r="A40" s="21" t="s">
        <v>66</v>
      </c>
      <c r="B40" s="21"/>
      <c r="C40" s="21"/>
      <c r="D40" s="21" t="s">
        <v>131</v>
      </c>
      <c r="E40" s="21"/>
      <c r="F40" s="21"/>
      <c r="G40" s="21"/>
      <c r="H40" s="21"/>
    </row>
    <row r="41" spans="1:8">
      <c r="A41" s="21"/>
      <c r="B41" s="21"/>
      <c r="C41" s="21"/>
      <c r="D41" s="21"/>
      <c r="E41" s="21"/>
      <c r="F41" s="21"/>
      <c r="G41" s="21"/>
      <c r="H41" s="21"/>
    </row>
    <row r="42" spans="1:8">
      <c r="A42" s="21"/>
      <c r="B42" s="21"/>
      <c r="C42" s="21"/>
      <c r="D42" s="21"/>
      <c r="E42" s="21"/>
      <c r="F42" s="21"/>
      <c r="G42" s="21"/>
      <c r="H42" s="21"/>
    </row>
    <row r="43" spans="1:8">
      <c r="A43" s="21" t="s">
        <v>67</v>
      </c>
      <c r="B43" s="21"/>
      <c r="C43" s="21"/>
      <c r="D43" s="21" t="s">
        <v>131</v>
      </c>
      <c r="E43" s="21"/>
      <c r="F43" s="21"/>
      <c r="G43" s="21"/>
      <c r="H43" s="21"/>
    </row>
    <row r="44" spans="1:8">
      <c r="A44" s="21"/>
      <c r="B44" s="21"/>
      <c r="C44" s="21"/>
      <c r="D44" s="21"/>
      <c r="E44" s="21"/>
      <c r="F44" s="21"/>
      <c r="G44" s="21"/>
      <c r="H44" s="21"/>
    </row>
  </sheetData>
  <mergeCells count="15">
    <mergeCell ref="S8:V8"/>
    <mergeCell ref="A8:A9"/>
    <mergeCell ref="D27:F27"/>
    <mergeCell ref="D29:F29"/>
    <mergeCell ref="H8:H9"/>
    <mergeCell ref="I8:I9"/>
    <mergeCell ref="B8:B9"/>
    <mergeCell ref="C8:C9"/>
    <mergeCell ref="E8:E9"/>
    <mergeCell ref="F8:F9"/>
    <mergeCell ref="G8:G9"/>
    <mergeCell ref="J8:J9"/>
    <mergeCell ref="K8:K9"/>
    <mergeCell ref="L8:L9"/>
    <mergeCell ref="M8:M9"/>
  </mergeCells>
  <pageMargins left="7.874015748031496E-2" right="7.874015748031496E-2" top="0.74803149606299213" bottom="0.74803149606299213" header="0.31496062992125984" footer="0.31496062992125984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4:Z45"/>
  <sheetViews>
    <sheetView workbookViewId="0">
      <selection activeCell="B14" sqref="B14"/>
    </sheetView>
  </sheetViews>
  <sheetFormatPr defaultRowHeight="15"/>
  <cols>
    <col min="2" max="2" width="19.5703125" customWidth="1"/>
    <col min="3" max="3" width="10.42578125" customWidth="1"/>
    <col min="4" max="4" width="7.42578125" customWidth="1"/>
    <col min="5" max="5" width="7.5703125" customWidth="1"/>
    <col min="6" max="6" width="10.5703125" customWidth="1"/>
    <col min="7" max="7" width="5.7109375" customWidth="1"/>
    <col min="8" max="8" width="8.28515625" customWidth="1"/>
    <col min="9" max="9" width="8.85546875" customWidth="1"/>
    <col min="10" max="10" width="5.7109375" customWidth="1"/>
    <col min="12" max="12" width="14.85546875" customWidth="1"/>
    <col min="13" max="13" width="13.140625" customWidth="1"/>
    <col min="14" max="14" width="15" customWidth="1"/>
    <col min="15" max="15" width="11.7109375" customWidth="1"/>
    <col min="20" max="20" width="9.140625" customWidth="1"/>
  </cols>
  <sheetData>
    <row r="4" spans="1:26" ht="21">
      <c r="B4" s="34" t="str">
        <f>'Исходные данные'!B13</f>
        <v>Сопроводительный лист</v>
      </c>
      <c r="E4" s="34">
        <f>'Исходные данные'!H13</f>
        <v>2222</v>
      </c>
    </row>
    <row r="7" spans="1:26" ht="23.25">
      <c r="C7" s="20" t="s">
        <v>139</v>
      </c>
    </row>
    <row r="9" spans="1:26" ht="31.5" customHeight="1">
      <c r="A9" s="357" t="s">
        <v>8</v>
      </c>
      <c r="B9" s="357" t="s">
        <v>14</v>
      </c>
      <c r="C9" s="357" t="s">
        <v>21</v>
      </c>
      <c r="D9" s="9" t="s">
        <v>19</v>
      </c>
      <c r="E9" s="357" t="s">
        <v>4</v>
      </c>
      <c r="F9" s="357" t="s">
        <v>5</v>
      </c>
      <c r="G9" s="357" t="s">
        <v>2</v>
      </c>
      <c r="H9" s="383"/>
      <c r="I9" s="384"/>
      <c r="J9" s="16"/>
      <c r="K9" s="9"/>
      <c r="L9" s="374" t="s">
        <v>125</v>
      </c>
      <c r="M9" s="374" t="s">
        <v>126</v>
      </c>
      <c r="N9" s="374" t="s">
        <v>127</v>
      </c>
      <c r="O9" s="374" t="s">
        <v>126</v>
      </c>
      <c r="P9" s="2" t="s">
        <v>10</v>
      </c>
      <c r="Q9" s="2" t="s">
        <v>11</v>
      </c>
      <c r="R9" s="2" t="s">
        <v>12</v>
      </c>
      <c r="S9" s="2" t="s">
        <v>13</v>
      </c>
      <c r="T9" s="10"/>
      <c r="U9" s="382" t="s">
        <v>91</v>
      </c>
      <c r="V9" s="382"/>
      <c r="W9" s="382"/>
      <c r="X9" s="382"/>
    </row>
    <row r="10" spans="1:26" ht="31.5" customHeight="1">
      <c r="A10" s="358"/>
      <c r="B10" s="358"/>
      <c r="C10" s="358"/>
      <c r="D10" s="9" t="s">
        <v>20</v>
      </c>
      <c r="E10" s="358"/>
      <c r="F10" s="358"/>
      <c r="G10" s="358"/>
      <c r="H10" s="9"/>
      <c r="I10" s="9"/>
      <c r="J10" s="17"/>
      <c r="K10" s="9"/>
      <c r="L10" s="375"/>
      <c r="M10" s="375"/>
      <c r="N10" s="375"/>
      <c r="O10" s="375"/>
      <c r="P10" s="2"/>
      <c r="Q10" s="2"/>
      <c r="R10" s="2"/>
      <c r="S10" s="2"/>
      <c r="T10" s="10"/>
      <c r="U10" s="72" t="s">
        <v>87</v>
      </c>
      <c r="V10" s="72" t="s">
        <v>88</v>
      </c>
      <c r="W10" s="72" t="s">
        <v>89</v>
      </c>
      <c r="X10" s="72" t="s">
        <v>90</v>
      </c>
      <c r="Y10" s="72"/>
    </row>
    <row r="11" spans="1:26" s="3" customFormat="1" ht="19.5" customHeight="1">
      <c r="A11" s="68">
        <f>'Исходные данные'!B17</f>
        <v>0</v>
      </c>
      <c r="B11" s="97" t="s">
        <v>145</v>
      </c>
      <c r="C11" s="15" t="s">
        <v>9</v>
      </c>
      <c r="D11" s="95">
        <v>102</v>
      </c>
      <c r="E11" s="97">
        <v>37.299999999999997</v>
      </c>
      <c r="F11" s="95">
        <v>1</v>
      </c>
      <c r="G11" s="9">
        <f>'Исходные данные'!S17*2</f>
        <v>0</v>
      </c>
      <c r="H11" s="9">
        <v>0</v>
      </c>
      <c r="I11" s="9">
        <v>0</v>
      </c>
      <c r="J11" s="9">
        <v>0</v>
      </c>
      <c r="K11" s="9">
        <v>0</v>
      </c>
      <c r="L11" s="85"/>
      <c r="M11" s="85"/>
      <c r="N11" s="85"/>
      <c r="O11" s="85"/>
      <c r="P11" s="10">
        <f>IF(D11&lt;500,0.008*G11,IF(D11&lt;1500,0.014*G11,IF(D11&lt;5000,0.022*G11,IF(D11&lt;2500,0.048*G11,0))))</f>
        <v>0</v>
      </c>
      <c r="Q11" s="10">
        <f>G11*0.004</f>
        <v>0</v>
      </c>
      <c r="R11" s="10">
        <f>P11+Q11</f>
        <v>0</v>
      </c>
      <c r="S11" s="10">
        <f>0.008*G11</f>
        <v>0</v>
      </c>
      <c r="T11" s="10"/>
      <c r="U11" s="3">
        <f>IF(AND('Исходные данные'!F17=3,'Исходные данные'!J17=1),IF(AND('Исходные данные'!H17&lt;400,'Исходные данные'!H17&gt;=250),30,IF(AND('Исходные данные'!H17&lt;440,'Исходные данные'!H17&gt;=400),95,IF('Исходные данные'!H17&gt;=440,135,0))),0)</f>
        <v>0</v>
      </c>
      <c r="V11" s="3">
        <f>IF(AND('Исходные данные'!F17=3,'Исходные данные'!J17=2),IF('Исходные данные'!H17&lt;450,100,IF('Исходные данные'!H17&gt;=450,135,0)),0)</f>
        <v>0</v>
      </c>
      <c r="W11" s="3">
        <f>IF(AND('Исходные данные'!F17=1,'Исходные данные'!J17=1),IF(AND('Исходные данные'!H17&lt;450,'Исходные данные'!H17&gt;250),30,IF('Исходные данные'!H17&gt;=450,130,0)),0)</f>
        <v>0</v>
      </c>
      <c r="X11" s="3">
        <f>IF(AND('Исходные данные'!F17=1,'Исходные данные'!J17=2),IF(AND('Исходные данные'!H17&lt;400,'Исходные данные'!H17&gt;=250),70,IF(AND('Исходные данные'!H17&gt;=400,'Исходные данные'!H17&lt;440),135,175)),0)</f>
        <v>0</v>
      </c>
      <c r="Y11" s="3">
        <f>IF(AND('Исходные данные'!H17&lt;400,'Исходные данные'!H17&gt;=250),30,IF(AND('Исходные данные'!H17&lt;440,'Исходные данные'!H17&gt;=400),95,IF('Исходные данные'!H17&gt;=440,135,0)))</f>
        <v>0</v>
      </c>
      <c r="Z11" s="3">
        <f>IF('Исходные данные'!H17&gt;=440,135,0)</f>
        <v>0</v>
      </c>
    </row>
    <row r="12" spans="1:26" s="3" customFormat="1">
      <c r="A12" s="65">
        <f>'Исходные данные'!B18</f>
        <v>0</v>
      </c>
      <c r="B12" s="97" t="s">
        <v>145</v>
      </c>
      <c r="C12" s="95" t="s">
        <v>144</v>
      </c>
      <c r="D12" s="78">
        <v>102</v>
      </c>
      <c r="E12" s="75">
        <v>37.299999999999997</v>
      </c>
      <c r="F12" s="66">
        <v>1</v>
      </c>
      <c r="G12" s="66">
        <f>'Исходные данные'!S18*2</f>
        <v>0</v>
      </c>
      <c r="H12" s="78">
        <v>0</v>
      </c>
      <c r="I12" s="66">
        <v>0</v>
      </c>
      <c r="J12" s="9"/>
      <c r="K12" s="70">
        <v>0</v>
      </c>
      <c r="L12" s="85"/>
      <c r="M12" s="85"/>
      <c r="N12" s="85"/>
      <c r="O12" s="85"/>
      <c r="P12" s="10">
        <f t="shared" ref="P12:P25" si="0">IF(D12&lt;500,0.008*G12,IF(D12&lt;1500,0.014*G12,IF(D12&lt;5000,0.022*G12,IF(D12&lt;2500,0.048*G12,0))))</f>
        <v>0</v>
      </c>
      <c r="Q12" s="10">
        <f t="shared" ref="Q12:Q25" si="1">G12*0.004</f>
        <v>0</v>
      </c>
      <c r="R12" s="10">
        <f t="shared" ref="R12:R25" si="2">P12+Q12</f>
        <v>0</v>
      </c>
      <c r="S12" s="10">
        <f t="shared" ref="S12:S25" si="3">0.008*G12</f>
        <v>0</v>
      </c>
      <c r="T12" s="10"/>
      <c r="U12" s="69">
        <f>IF(AND('Исходные данные'!F18=3,'Исходные данные'!J18=1),IF(AND('Исходные данные'!H18&lt;400,'Исходные данные'!H18&gt;=250),30,IF(AND('Исходные данные'!H18&lt;440,'Исходные данные'!H18&gt;=400),95,IF('Исходные данные'!H18&gt;=440,135,0))),0)</f>
        <v>0</v>
      </c>
      <c r="V12" s="69">
        <f>IF(AND('Исходные данные'!F18=3,'Исходные данные'!J18=2),IF('Исходные данные'!H18&lt;450,100,IF('Исходные данные'!H18&gt;=450,135,0)),0)</f>
        <v>0</v>
      </c>
      <c r="W12" s="69">
        <f>IF(AND('Исходные данные'!F18=1,'Исходные данные'!J18=1),IF(AND('Исходные данные'!H18&lt;450,'Исходные данные'!H18&gt;250),30,IF('Исходные данные'!H18&gt;=450,130,0)),0)</f>
        <v>0</v>
      </c>
      <c r="X12" s="69">
        <f>IF(AND('Исходные данные'!F18=1,'Исходные данные'!J18=2),IF(AND('Исходные данные'!H18&lt;400,'Исходные данные'!H18&gt;=250),70,IF(AND('Исходные данные'!H18&gt;=400,'Исходные данные'!H18&lt;440),135,175)),0)</f>
        <v>0</v>
      </c>
    </row>
    <row r="13" spans="1:26" s="3" customFormat="1">
      <c r="A13" s="65">
        <f>'Исходные данные'!B19</f>
        <v>0</v>
      </c>
      <c r="B13" s="97" t="s">
        <v>146</v>
      </c>
      <c r="C13" s="97" t="s">
        <v>144</v>
      </c>
      <c r="D13" s="78">
        <v>102</v>
      </c>
      <c r="E13" s="97">
        <v>37.299999999999997</v>
      </c>
      <c r="F13" s="97">
        <v>1</v>
      </c>
      <c r="G13" s="66">
        <f>'Исходные данные'!S19*2</f>
        <v>0</v>
      </c>
      <c r="H13" s="78"/>
      <c r="I13" s="66"/>
      <c r="J13" s="9"/>
      <c r="K13" s="70"/>
      <c r="L13" s="85"/>
      <c r="M13" s="85"/>
      <c r="N13" s="85"/>
      <c r="O13" s="85"/>
      <c r="P13" s="10">
        <f t="shared" si="0"/>
        <v>0</v>
      </c>
      <c r="Q13" s="10">
        <f t="shared" si="1"/>
        <v>0</v>
      </c>
      <c r="R13" s="10">
        <f t="shared" si="2"/>
        <v>0</v>
      </c>
      <c r="S13" s="10">
        <f t="shared" si="3"/>
        <v>0</v>
      </c>
      <c r="T13" s="10"/>
      <c r="U13" s="69">
        <f>IF(AND('Исходные данные'!F19=3,'Исходные данные'!J19=1),IF(AND('Исходные данные'!H19&lt;400,'Исходные данные'!H19&gt;=250),30,IF(AND('Исходные данные'!H19&lt;440,'Исходные данные'!H19&gt;=400),95,IF('Исходные данные'!H19&gt;=440,135,0))),0)</f>
        <v>0</v>
      </c>
      <c r="V13" s="69">
        <f>IF(AND('Исходные данные'!F19=3,'Исходные данные'!J19=2),IF('Исходные данные'!H19&lt;450,100,IF('Исходные данные'!H19&gt;=450,135,0)),0)</f>
        <v>0</v>
      </c>
      <c r="W13" s="69">
        <f>IF(AND('Исходные данные'!F19=1,'Исходные данные'!J19=1),IF(AND('Исходные данные'!H19&lt;450,'Исходные данные'!H19&gt;250),30,IF('Исходные данные'!H19&gt;=450,130,0)),0)</f>
        <v>0</v>
      </c>
      <c r="X13" s="69">
        <f>IF(AND('Исходные данные'!F19=1,'Исходные данные'!J19=2),IF(AND('Исходные данные'!H19&lt;400,'Исходные данные'!H19&gt;=250),70,IF(AND('Исходные данные'!H19&gt;=400,'Исходные данные'!H19&lt;440),135,175)),0)</f>
        <v>0</v>
      </c>
    </row>
    <row r="14" spans="1:26" s="3" customFormat="1">
      <c r="A14" s="65">
        <f>'Исходные данные'!B20</f>
        <v>0</v>
      </c>
      <c r="B14" s="97" t="s">
        <v>140</v>
      </c>
      <c r="C14" s="97" t="s">
        <v>144</v>
      </c>
      <c r="D14" s="97">
        <v>102</v>
      </c>
      <c r="E14" s="97">
        <v>37.299999999999997</v>
      </c>
      <c r="F14" s="97">
        <v>1</v>
      </c>
      <c r="G14" s="66">
        <f>'Исходные данные'!S20*2</f>
        <v>0</v>
      </c>
      <c r="H14" s="78"/>
      <c r="I14" s="66"/>
      <c r="J14" s="9"/>
      <c r="K14" s="70"/>
      <c r="L14" s="85"/>
      <c r="M14" s="85"/>
      <c r="N14" s="85"/>
      <c r="O14" s="85"/>
      <c r="P14" s="10">
        <f t="shared" si="0"/>
        <v>0</v>
      </c>
      <c r="Q14" s="10">
        <f t="shared" si="1"/>
        <v>0</v>
      </c>
      <c r="R14" s="10">
        <f t="shared" si="2"/>
        <v>0</v>
      </c>
      <c r="S14" s="10">
        <f t="shared" si="3"/>
        <v>0</v>
      </c>
      <c r="T14" s="10"/>
      <c r="U14" s="69">
        <f>IF(AND('Исходные данные'!F20=3,'Исходные данные'!J20=1),IF(AND('Исходные данные'!H20&lt;400,'Исходные данные'!H20&gt;=250),30,IF(AND('Исходные данные'!H20&lt;440,'Исходные данные'!H20&gt;=400),95,IF('Исходные данные'!H20&gt;=440,135,0))),0)</f>
        <v>0</v>
      </c>
      <c r="V14" s="69">
        <f>IF(AND('Исходные данные'!F20=3,'Исходные данные'!J20=2),IF('Исходные данные'!H20&lt;450,100,IF('Исходные данные'!H20&gt;=450,135,0)),0)</f>
        <v>0</v>
      </c>
      <c r="W14" s="69">
        <f>IF(AND('Исходные данные'!F20=1,'Исходные данные'!J20=1),IF(AND('Исходные данные'!H20&lt;450,'Исходные данные'!H20&gt;250),30,IF('Исходные данные'!H20&gt;=450,130,0)),0)</f>
        <v>0</v>
      </c>
      <c r="X14" s="69">
        <f>IF(AND('Исходные данные'!F20=1,'Исходные данные'!J20=2),IF(AND('Исходные данные'!H20&lt;400,'Исходные данные'!H20&gt;=250),70,IF(AND('Исходные данные'!H20&gt;=400,'Исходные данные'!H20&lt;440),135,175)),0)</f>
        <v>0</v>
      </c>
    </row>
    <row r="15" spans="1:26" s="3" customFormat="1">
      <c r="A15" s="65">
        <f>'Исходные данные'!B21</f>
        <v>0</v>
      </c>
      <c r="B15" s="97"/>
      <c r="C15" s="97"/>
      <c r="D15" s="78"/>
      <c r="E15" s="97"/>
      <c r="F15" s="97"/>
      <c r="G15" s="66"/>
      <c r="H15" s="78"/>
      <c r="I15" s="66"/>
      <c r="J15" s="9"/>
      <c r="K15" s="70"/>
      <c r="L15" s="85"/>
      <c r="M15" s="85"/>
      <c r="N15" s="85"/>
      <c r="O15" s="85"/>
      <c r="P15" s="10">
        <f t="shared" si="0"/>
        <v>0</v>
      </c>
      <c r="Q15" s="10">
        <f t="shared" si="1"/>
        <v>0</v>
      </c>
      <c r="R15" s="10">
        <f t="shared" si="2"/>
        <v>0</v>
      </c>
      <c r="S15" s="10">
        <f t="shared" si="3"/>
        <v>0</v>
      </c>
      <c r="T15" s="10"/>
    </row>
    <row r="16" spans="1:26" s="3" customFormat="1">
      <c r="A16" s="65">
        <f>'Исходные данные'!B22</f>
        <v>0</v>
      </c>
      <c r="B16" s="97"/>
      <c r="C16" s="97"/>
      <c r="D16" s="78"/>
      <c r="E16" s="97"/>
      <c r="F16" s="97"/>
      <c r="G16" s="66"/>
      <c r="H16" s="78"/>
      <c r="I16" s="66"/>
      <c r="J16" s="9"/>
      <c r="K16" s="70"/>
      <c r="L16" s="85"/>
      <c r="M16" s="85"/>
      <c r="N16" s="85"/>
      <c r="O16" s="85"/>
      <c r="P16" s="10">
        <f t="shared" si="0"/>
        <v>0</v>
      </c>
      <c r="Q16" s="10">
        <f t="shared" si="1"/>
        <v>0</v>
      </c>
      <c r="R16" s="10">
        <f t="shared" si="2"/>
        <v>0</v>
      </c>
      <c r="S16" s="10">
        <f t="shared" si="3"/>
        <v>0</v>
      </c>
      <c r="T16" s="10"/>
    </row>
    <row r="17" spans="1:20" s="3" customFormat="1">
      <c r="A17" s="65">
        <f>'Исходные данные'!B23</f>
        <v>0</v>
      </c>
      <c r="B17" s="9" t="str">
        <f>IF('Исходные данные'!F23=3,"183.00.00.005/005-01",IF('Исходные данные'!F23=1,"0148.10.006","---"))</f>
        <v>---</v>
      </c>
      <c r="C17" s="9"/>
      <c r="D17" s="78">
        <f>IF(AND('Исходные данные'!F23=3,'Исходные данные'!J23=1),'Исходные данные'!H23-'Ножницы (2)'!K17-15,IF(AND('Исходные данные'!F23=3,'Исходные данные'!J23=2),'Исходные данные'!H23-'Ножницы (2)'!K17-20,IF(AND('Исходные данные'!F23=1,'Исходные данные'!J23=1),'Исходные данные'!H23-'Ножницы (2)'!K17-10,IF(AND('Исходные данные'!F23=1,'Исходные данные'!J23=2),'Исходные данные'!H23-'Ножницы (2)'!K17-24,0))))</f>
        <v>0</v>
      </c>
      <c r="E17" s="75">
        <f>IF(AND('Исходные данные'!F23=3,'Исходные данные'!J23=1),55,IF(AND('Исходные данные'!F23=3,'Исходные данные'!J23=2),65,IF(AND('Исходные данные'!F23=1,'Исходные данные'!J23=1),52,IF(AND('Исходные данные'!F23=1,'Исходные данные'!J23=2),53,0))))</f>
        <v>0</v>
      </c>
      <c r="F17" s="66">
        <v>0.7</v>
      </c>
      <c r="G17" s="66">
        <f>'Исходные данные'!S23*2</f>
        <v>0</v>
      </c>
      <c r="H17" s="78">
        <f>IF(AND('Исходные данные'!F23=3,'Исходные данные'!J23=1),15,IF(AND('Исходные данные'!F23=3,'Исходные данные'!J23=2),25,IF(AND('Исходные данные'!F23=1,'Исходные данные'!J23=1),12,IF(AND('Исходные данные'!F23=1,'Исходные данные'!J23=2),15,0))))</f>
        <v>0</v>
      </c>
      <c r="I17" s="66">
        <v>20</v>
      </c>
      <c r="J17" s="9"/>
      <c r="K17" s="70">
        <f>IF(AND('Исходные данные'!F23=3,'Исходные данные'!J23=1),IF(AND('Исходные данные'!H23&lt;400,'Исходные данные'!H23&gt;=250),30,IF(AND('Исходные данные'!H23&lt;440,'Исходные данные'!H23&gt;=400),95,IF('Исходные данные'!H23&gt;=440,135,0))),IF(AND('Исходные данные'!F23=3,'Исходные данные'!J23=2),IF('Исходные данные'!H23&lt;450,100,IF('Исходные данные'!H23&gt;=450,135,0)),IF(AND('Исходные данные'!F23=1,'Исходные данные'!J23=1),IF(AND('Исходные данные'!H23&lt;450,'Исходные данные'!H23&gt;250),30,IF('Исходные данные'!H23&gt;=450,130,0)),IF(AND('Исходные данные'!F23=1,'Исходные данные'!J23=2),IF(AND('Исходные данные'!H23&lt;400,'Исходные данные'!H23&gt;=250),70,IF(AND('Исходные данные'!H23&gt;=400,'Исходные данные'!H23&lt;440),135,175)),0))))</f>
        <v>0</v>
      </c>
      <c r="L17" s="85"/>
      <c r="M17" s="85"/>
      <c r="N17" s="85"/>
      <c r="O17" s="85"/>
      <c r="P17" s="10">
        <f t="shared" si="0"/>
        <v>0</v>
      </c>
      <c r="Q17" s="10">
        <f t="shared" si="1"/>
        <v>0</v>
      </c>
      <c r="R17" s="10">
        <f t="shared" si="2"/>
        <v>0</v>
      </c>
      <c r="S17" s="10">
        <f t="shared" si="3"/>
        <v>0</v>
      </c>
      <c r="T17" s="10"/>
    </row>
    <row r="18" spans="1:20" s="3" customFormat="1">
      <c r="A18" s="65">
        <f>'Исходные данные'!B24</f>
        <v>0</v>
      </c>
      <c r="B18" s="9" t="str">
        <f>IF('Исходные данные'!F24=3,"183.00.00.005/005-01",IF('Исходные данные'!F24=1,"0148.10.006","---"))</f>
        <v>---</v>
      </c>
      <c r="C18" s="9"/>
      <c r="D18" s="78">
        <f>IF(AND('Исходные данные'!F24=3,'Исходные данные'!J24=1),'Исходные данные'!H24-'Ножницы (2)'!K18-15,IF(AND('Исходные данные'!F24=3,'Исходные данные'!J24=2),'Исходные данные'!H24-'Ножницы (2)'!K18-20,IF(AND('Исходные данные'!F24=1,'Исходные данные'!J24=1),'Исходные данные'!H24-'Ножницы (2)'!K18-10,IF(AND('Исходные данные'!F24=1,'Исходные данные'!J24=2),'Исходные данные'!H24-'Ножницы (2)'!K18-24,0))))</f>
        <v>0</v>
      </c>
      <c r="E18" s="75">
        <f>IF(AND('Исходные данные'!F24=3,'Исходные данные'!J24=1),55,IF(AND('Исходные данные'!F24=3,'Исходные данные'!J24=2),65,IF(AND('Исходные данные'!F24=1,'Исходные данные'!J24=1),52,IF(AND('Исходные данные'!F24=1,'Исходные данные'!J24=2),53,0))))</f>
        <v>0</v>
      </c>
      <c r="F18" s="66">
        <v>0.7</v>
      </c>
      <c r="G18" s="66">
        <f>'Исходные данные'!S24*2</f>
        <v>0</v>
      </c>
      <c r="H18" s="78">
        <f>IF(AND('Исходные данные'!F24=3,'Исходные данные'!J24=1),15,IF(AND('Исходные данные'!F24=3,'Исходные данные'!J24=2),25,IF(AND('Исходные данные'!F24=1,'Исходные данные'!J24=1),12,IF(AND('Исходные данные'!F24=1,'Исходные данные'!J24=2),15,0))))</f>
        <v>0</v>
      </c>
      <c r="I18" s="66">
        <v>20</v>
      </c>
      <c r="J18" s="9"/>
      <c r="K18" s="70">
        <f>IF(AND('Исходные данные'!F24=3,'Исходные данные'!J24=1),IF(AND('Исходные данные'!H24&lt;400,'Исходные данные'!H24&gt;=250),30,IF(AND('Исходные данные'!H24&lt;440,'Исходные данные'!H24&gt;=400),95,IF('Исходные данные'!H24&gt;=440,135,0))),IF(AND('Исходные данные'!F24=3,'Исходные данные'!J24=2),IF('Исходные данные'!H24&lt;450,100,IF('Исходные данные'!H24&gt;=450,135,0)),IF(AND('Исходные данные'!F24=1,'Исходные данные'!J24=1),IF(AND('Исходные данные'!H24&lt;450,'Исходные данные'!H24&gt;250),30,IF('Исходные данные'!H24&gt;=450,130,0)),IF(AND('Исходные данные'!F24=1,'Исходные данные'!J24=2),IF(AND('Исходные данные'!H24&lt;400,'Исходные данные'!H24&gt;=250),70,IF(AND('Исходные данные'!H24&gt;=400,'Исходные данные'!H24&lt;440),135,175)),0))))</f>
        <v>0</v>
      </c>
      <c r="L18" s="85"/>
      <c r="M18" s="85"/>
      <c r="N18" s="85"/>
      <c r="O18" s="85"/>
      <c r="P18" s="10">
        <f t="shared" si="0"/>
        <v>0</v>
      </c>
      <c r="Q18" s="10">
        <f t="shared" si="1"/>
        <v>0</v>
      </c>
      <c r="R18" s="10">
        <f t="shared" si="2"/>
        <v>0</v>
      </c>
      <c r="S18" s="10">
        <f t="shared" si="3"/>
        <v>0</v>
      </c>
      <c r="T18" s="10"/>
    </row>
    <row r="19" spans="1:20" s="3" customFormat="1">
      <c r="A19" s="65">
        <f>'Исходные данные'!B25</f>
        <v>0</v>
      </c>
      <c r="B19" s="9" t="str">
        <f>IF('Исходные данные'!F25=3,"183.00.00.005/005-01",IF('Исходные данные'!F25=1,"0148.10.006","---"))</f>
        <v>---</v>
      </c>
      <c r="C19" s="9"/>
      <c r="D19" s="78">
        <f>IF(AND('Исходные данные'!F25=3,'Исходные данные'!J25=1),'Исходные данные'!H25-'Ножницы (2)'!K19-15,IF(AND('Исходные данные'!F25=3,'Исходные данные'!J25=2),'Исходные данные'!H25-'Ножницы (2)'!K19-20,IF(AND('Исходные данные'!F25=1,'Исходные данные'!J25=1),'Исходные данные'!H25-'Ножницы (2)'!K19-10,IF(AND('Исходные данные'!F25=1,'Исходные данные'!J25=2),'Исходные данные'!H25-'Ножницы (2)'!K19-24,0))))</f>
        <v>0</v>
      </c>
      <c r="E19" s="75">
        <f>IF(AND('Исходные данные'!F25=3,'Исходные данные'!J25=1),55,IF(AND('Исходные данные'!F25=3,'Исходные данные'!J25=2),65,IF(AND('Исходные данные'!F25=1,'Исходные данные'!J25=1),52,IF(AND('Исходные данные'!F25=1,'Исходные данные'!J25=2),53,0))))</f>
        <v>0</v>
      </c>
      <c r="F19" s="66">
        <v>0.7</v>
      </c>
      <c r="G19" s="66">
        <f>'Исходные данные'!S25*2</f>
        <v>0</v>
      </c>
      <c r="H19" s="78">
        <f>IF(AND('Исходные данные'!F25=3,'Исходные данные'!J25=1),15,IF(AND('Исходные данные'!F25=3,'Исходные данные'!J25=2),25,IF(AND('Исходные данные'!F25=1,'Исходные данные'!J25=1),12,IF(AND('Исходные данные'!F25=1,'Исходные данные'!J25=2),15,0))))</f>
        <v>0</v>
      </c>
      <c r="I19" s="66">
        <v>20</v>
      </c>
      <c r="J19" s="9"/>
      <c r="K19" s="70">
        <f>IF(AND('Исходные данные'!F25=3,'Исходные данные'!J25=1),IF(AND('Исходные данные'!H25&lt;400,'Исходные данные'!H25&gt;=250),30,IF(AND('Исходные данные'!H25&lt;440,'Исходные данные'!H25&gt;=400),95,IF('Исходные данные'!H25&gt;=440,135,0))),IF(AND('Исходные данные'!F25=3,'Исходные данные'!J25=2),IF('Исходные данные'!H25&lt;450,100,IF('Исходные данные'!H25&gt;=450,135,0)),IF(AND('Исходные данные'!F25=1,'Исходные данные'!J25=1),IF(AND('Исходные данные'!H25&lt;450,'Исходные данные'!H25&gt;250),30,IF('Исходные данные'!H25&gt;=450,130,0)),IF(AND('Исходные данные'!F25=1,'Исходные данные'!J25=2),IF(AND('Исходные данные'!H25&lt;400,'Исходные данные'!H25&gt;=250),70,IF(AND('Исходные данные'!H25&gt;=400,'Исходные данные'!H25&lt;440),135,175)),0))))</f>
        <v>0</v>
      </c>
      <c r="L19" s="85"/>
      <c r="M19" s="85"/>
      <c r="N19" s="85"/>
      <c r="O19" s="85"/>
      <c r="P19" s="10">
        <f t="shared" si="0"/>
        <v>0</v>
      </c>
      <c r="Q19" s="10">
        <f t="shared" si="1"/>
        <v>0</v>
      </c>
      <c r="R19" s="10">
        <f t="shared" si="2"/>
        <v>0</v>
      </c>
      <c r="S19" s="10">
        <f t="shared" si="3"/>
        <v>0</v>
      </c>
      <c r="T19" s="10"/>
    </row>
    <row r="20" spans="1:20" s="3" customFormat="1">
      <c r="A20" s="65">
        <f>'Исходные данные'!B26</f>
        <v>0</v>
      </c>
      <c r="B20" s="9" t="str">
        <f>IF('Исходные данные'!F26=3,"183.00.00.005/005-01",IF('Исходные данные'!F26=1,"0148.10.006","---"))</f>
        <v>---</v>
      </c>
      <c r="C20" s="9"/>
      <c r="D20" s="78">
        <f>IF(AND('Исходные данные'!F26=3,'Исходные данные'!J26=1),'Исходные данные'!H26-'Ножницы (2)'!K20-15,IF(AND('Исходные данные'!F26=3,'Исходные данные'!J26=2),'Исходные данные'!H26-'Ножницы (2)'!K20-20,IF(AND('Исходные данные'!F26=1,'Исходные данные'!J26=1),'Исходные данные'!H26-'Ножницы (2)'!K20-10,IF(AND('Исходные данные'!F26=1,'Исходные данные'!J26=2),'Исходные данные'!H26-'Ножницы (2)'!K20-24,0))))</f>
        <v>0</v>
      </c>
      <c r="E20" s="75">
        <f>IF(AND('Исходные данные'!F26=3,'Исходные данные'!J26=1),55,IF(AND('Исходные данные'!F26=3,'Исходные данные'!J26=2),65,IF(AND('Исходные данные'!F26=1,'Исходные данные'!J26=1),52,IF(AND('Исходные данные'!F26=1,'Исходные данные'!J26=2),53,0))))</f>
        <v>0</v>
      </c>
      <c r="F20" s="66">
        <v>0.7</v>
      </c>
      <c r="G20" s="66">
        <f>'Исходные данные'!S26*2</f>
        <v>0</v>
      </c>
      <c r="H20" s="78">
        <f>IF(AND('Исходные данные'!F26=3,'Исходные данные'!J26=1),15,IF(AND('Исходные данные'!F26=3,'Исходные данные'!J26=2),25,IF(AND('Исходные данные'!F26=1,'Исходные данные'!J26=1),12,IF(AND('Исходные данные'!F26=1,'Исходные данные'!J26=2),15,0))))</f>
        <v>0</v>
      </c>
      <c r="I20" s="66">
        <v>20</v>
      </c>
      <c r="J20" s="9"/>
      <c r="K20" s="70">
        <f>IF(AND('Исходные данные'!F26=3,'Исходные данные'!J26=1),IF(AND('Исходные данные'!H26&lt;400,'Исходные данные'!H26&gt;=250),30,IF(AND('Исходные данные'!H26&lt;440,'Исходные данные'!H26&gt;=400),95,IF('Исходные данные'!H26&gt;=440,135,0))),IF(AND('Исходные данные'!F26=3,'Исходные данные'!J26=2),IF('Исходные данные'!H26&lt;450,100,IF('Исходные данные'!H26&gt;=450,135,0)),IF(AND('Исходные данные'!F26=1,'Исходные данные'!J26=1),IF(AND('Исходные данные'!H26&lt;450,'Исходные данные'!H26&gt;250),30,IF('Исходные данные'!H26&gt;=450,130,0)),IF(AND('Исходные данные'!F26=1,'Исходные данные'!J26=2),IF(AND('Исходные данные'!H26&lt;400,'Исходные данные'!H26&gt;=250),70,IF(AND('Исходные данные'!H26&gt;=400,'Исходные данные'!H26&lt;440),135,175)),0))))</f>
        <v>0</v>
      </c>
      <c r="L20" s="85"/>
      <c r="M20" s="85"/>
      <c r="N20" s="85"/>
      <c r="O20" s="85"/>
      <c r="P20" s="10">
        <f t="shared" si="0"/>
        <v>0</v>
      </c>
      <c r="Q20" s="10">
        <f t="shared" si="1"/>
        <v>0</v>
      </c>
      <c r="R20" s="10">
        <f t="shared" si="2"/>
        <v>0</v>
      </c>
      <c r="S20" s="10">
        <f t="shared" si="3"/>
        <v>0</v>
      </c>
      <c r="T20" s="10"/>
    </row>
    <row r="21" spans="1:20" s="3" customFormat="1">
      <c r="A21" s="65">
        <f>'Исходные данные'!B27</f>
        <v>0</v>
      </c>
      <c r="B21" s="9" t="str">
        <f>IF('Исходные данные'!F27=3,"183.00.00.005/005-01",IF('Исходные данные'!F27=1,"0148.10.006","---"))</f>
        <v>---</v>
      </c>
      <c r="C21" s="9"/>
      <c r="D21" s="78">
        <f>IF(AND('Исходные данные'!F27=3,'Исходные данные'!J27=1),'Исходные данные'!H27-'Ножницы (2)'!K21-15,IF(AND('Исходные данные'!F27=3,'Исходные данные'!J27=2),'Исходные данные'!H27-'Ножницы (2)'!K21-20,IF(AND('Исходные данные'!F27=1,'Исходные данные'!J27=1),'Исходные данные'!H27-'Ножницы (2)'!K21-10,IF(AND('Исходные данные'!F27=1,'Исходные данные'!J27=2),'Исходные данные'!H27-'Ножницы (2)'!K21-24,0))))</f>
        <v>0</v>
      </c>
      <c r="E21" s="75">
        <f>IF(AND('Исходные данные'!F27=3,'Исходные данные'!J27=1),55,IF(AND('Исходные данные'!F27=3,'Исходные данные'!J27=2),65,IF(AND('Исходные данные'!F27=1,'Исходные данные'!J27=1),52,IF(AND('Исходные данные'!F27=1,'Исходные данные'!J27=2),53,0))))</f>
        <v>0</v>
      </c>
      <c r="F21" s="66">
        <v>0.7</v>
      </c>
      <c r="G21" s="66">
        <f>'Исходные данные'!S27*2</f>
        <v>0</v>
      </c>
      <c r="H21" s="78">
        <f>IF(AND('Исходные данные'!F27=3,'Исходные данные'!J27=1),15,IF(AND('Исходные данные'!F27=3,'Исходные данные'!J27=2),25,IF(AND('Исходные данные'!F27=1,'Исходные данные'!J27=1),12,IF(AND('Исходные данные'!F27=1,'Исходные данные'!J27=2),15,0))))</f>
        <v>0</v>
      </c>
      <c r="I21" s="66">
        <v>20</v>
      </c>
      <c r="J21" s="9"/>
      <c r="K21" s="70">
        <f>IF(AND('Исходные данные'!F27=3,'Исходные данные'!J27=1),IF(AND('Исходные данные'!H27&lt;400,'Исходные данные'!H27&gt;=250),30,IF(AND('Исходные данные'!H27&lt;440,'Исходные данные'!H27&gt;=400),95,IF('Исходные данные'!H27&gt;=440,135,0))),IF(AND('Исходные данные'!F27=3,'Исходные данные'!J27=2),IF('Исходные данные'!H27&lt;450,100,IF('Исходные данные'!H27&gt;=450,135,0)),IF(AND('Исходные данные'!F27=1,'Исходные данные'!J27=1),IF(AND('Исходные данные'!H27&lt;450,'Исходные данные'!H27&gt;250),30,IF('Исходные данные'!H27&gt;=450,130,0)),IF(AND('Исходные данные'!F27=1,'Исходные данные'!J27=2),IF(AND('Исходные данные'!H27&lt;400,'Исходные данные'!H27&gt;=250),70,IF(AND('Исходные данные'!H27&gt;=400,'Исходные данные'!H27&lt;440),135,175)),0))))</f>
        <v>0</v>
      </c>
      <c r="L21" s="85"/>
      <c r="M21" s="85"/>
      <c r="N21" s="85"/>
      <c r="O21" s="85"/>
      <c r="P21" s="10">
        <f t="shared" si="0"/>
        <v>0</v>
      </c>
      <c r="Q21" s="10">
        <f t="shared" si="1"/>
        <v>0</v>
      </c>
      <c r="R21" s="10">
        <f t="shared" si="2"/>
        <v>0</v>
      </c>
      <c r="S21" s="10">
        <f t="shared" si="3"/>
        <v>0</v>
      </c>
      <c r="T21" s="10"/>
    </row>
    <row r="22" spans="1:20" s="3" customFormat="1">
      <c r="A22" s="65">
        <f>'Исходные данные'!B28</f>
        <v>0</v>
      </c>
      <c r="B22" s="9" t="str">
        <f>IF('Исходные данные'!F28=3,"183.00.00.005/005-01",IF('Исходные данные'!F28=1,"0148.10.006","---"))</f>
        <v>---</v>
      </c>
      <c r="C22" s="9"/>
      <c r="D22" s="78">
        <f>IF(AND('Исходные данные'!F28=3,'Исходные данные'!J28=1),'Исходные данные'!H28-'Ножницы (2)'!K22-15,IF(AND('Исходные данные'!F28=3,'Исходные данные'!J28=2),'Исходные данные'!H28-'Ножницы (2)'!K22-20,IF(AND('Исходные данные'!F28=1,'Исходные данные'!J28=1),'Исходные данные'!H28-'Ножницы (2)'!K22-10,IF(AND('Исходные данные'!F28=1,'Исходные данные'!J28=2),'Исходные данные'!H28-'Ножницы (2)'!K22-24,0))))</f>
        <v>0</v>
      </c>
      <c r="E22" s="75">
        <f>IF(AND('Исходные данные'!F28=3,'Исходные данные'!J28=1),55,IF(AND('Исходные данные'!F28=3,'Исходные данные'!J28=2),65,IF(AND('Исходные данные'!F28=1,'Исходные данные'!J28=1),52,IF(AND('Исходные данные'!F28=1,'Исходные данные'!J28=2),53,0))))</f>
        <v>0</v>
      </c>
      <c r="F22" s="66">
        <v>0.7</v>
      </c>
      <c r="G22" s="66">
        <f>'Исходные данные'!S28*2</f>
        <v>0</v>
      </c>
      <c r="H22" s="78">
        <f>IF(AND('Исходные данные'!F28=3,'Исходные данные'!J28=1),15,IF(AND('Исходные данные'!F28=3,'Исходные данные'!J28=2),25,IF(AND('Исходные данные'!F28=1,'Исходные данные'!J28=1),12,IF(AND('Исходные данные'!F28=1,'Исходные данные'!J28=2),15,0))))</f>
        <v>0</v>
      </c>
      <c r="I22" s="66">
        <v>20</v>
      </c>
      <c r="J22" s="9"/>
      <c r="K22" s="70">
        <f>IF(AND('Исходные данные'!F28=3,'Исходные данные'!J28=1),IF(AND('Исходные данные'!H28&lt;400,'Исходные данные'!H28&gt;=250),30,IF(AND('Исходные данные'!H28&lt;440,'Исходные данные'!H28&gt;=400),95,IF('Исходные данные'!H28&gt;=440,135,0))),IF(AND('Исходные данные'!F28=3,'Исходные данные'!J28=2),IF('Исходные данные'!H28&lt;450,100,IF('Исходные данные'!H28&gt;=450,135,0)),IF(AND('Исходные данные'!F28=1,'Исходные данные'!J28=1),IF(AND('Исходные данные'!H28&lt;450,'Исходные данные'!H28&gt;250),30,IF('Исходные данные'!H28&gt;=450,130,0)),IF(AND('Исходные данные'!F28=1,'Исходные данные'!J28=2),IF(AND('Исходные данные'!H28&lt;400,'Исходные данные'!H28&gt;=250),70,IF(AND('Исходные данные'!H28&gt;=400,'Исходные данные'!H28&lt;440),135,175)),0))))</f>
        <v>0</v>
      </c>
      <c r="L22" s="85"/>
      <c r="M22" s="85"/>
      <c r="N22" s="85"/>
      <c r="O22" s="85"/>
      <c r="P22" s="10">
        <f t="shared" si="0"/>
        <v>0</v>
      </c>
      <c r="Q22" s="10">
        <f t="shared" si="1"/>
        <v>0</v>
      </c>
      <c r="R22" s="10">
        <f t="shared" si="2"/>
        <v>0</v>
      </c>
      <c r="S22" s="10">
        <f t="shared" si="3"/>
        <v>0</v>
      </c>
      <c r="T22" s="10"/>
    </row>
    <row r="23" spans="1:20" s="3" customFormat="1">
      <c r="A23" s="65">
        <f>'Исходные данные'!B29</f>
        <v>0</v>
      </c>
      <c r="B23" s="9" t="str">
        <f>IF('Исходные данные'!F29=3,"183.00.00.005/005-01",IF('Исходные данные'!F29=1,"0148.10.006","---"))</f>
        <v>---</v>
      </c>
      <c r="C23" s="9"/>
      <c r="D23" s="78">
        <f>IF(AND('Исходные данные'!F29=3,'Исходные данные'!J29=1),'Исходные данные'!H29-'Ножницы (2)'!K23-15,IF(AND('Исходные данные'!F29=3,'Исходные данные'!J29=2),'Исходные данные'!H29-'Ножницы (2)'!K23-20,IF(AND('Исходные данные'!F29=1,'Исходные данные'!J29=1),'Исходные данные'!H29-'Ножницы (2)'!K23-10,IF(AND('Исходные данные'!F29=1,'Исходные данные'!J29=2),'Исходные данные'!H29-'Ножницы (2)'!K23-24,0))))</f>
        <v>0</v>
      </c>
      <c r="E23" s="75">
        <f>IF(AND('Исходные данные'!F29=3,'Исходные данные'!J29=1),55,IF(AND('Исходные данные'!F29=3,'Исходные данные'!J29=2),65,IF(AND('Исходные данные'!F29=1,'Исходные данные'!J29=1),52,IF(AND('Исходные данные'!F29=1,'Исходные данные'!J29=2),53,0))))</f>
        <v>0</v>
      </c>
      <c r="F23" s="66">
        <v>0.7</v>
      </c>
      <c r="G23" s="66">
        <f>'Исходные данные'!S29*2</f>
        <v>0</v>
      </c>
      <c r="H23" s="78">
        <f>IF(AND('Исходные данные'!F29=3,'Исходные данные'!J29=1),15,IF(AND('Исходные данные'!F29=3,'Исходные данные'!J29=2),25,IF(AND('Исходные данные'!F29=1,'Исходные данные'!J29=1),12,IF(AND('Исходные данные'!F29=1,'Исходные данные'!J29=2),15,0))))</f>
        <v>0</v>
      </c>
      <c r="I23" s="66">
        <v>20</v>
      </c>
      <c r="J23" s="9"/>
      <c r="K23" s="70">
        <f>IF(AND('Исходные данные'!F29=3,'Исходные данные'!J29=1),IF(AND('Исходные данные'!H29&lt;400,'Исходные данные'!H29&gt;=250),30,IF(AND('Исходные данные'!H29&lt;440,'Исходные данные'!H29&gt;=400),95,IF('Исходные данные'!H29&gt;=440,135,0))),IF(AND('Исходные данные'!F29=3,'Исходные данные'!J29=2),IF('Исходные данные'!H29&lt;450,100,IF('Исходные данные'!H29&gt;=450,135,0)),IF(AND('Исходные данные'!F29=1,'Исходные данные'!J29=1),IF(AND('Исходные данные'!H29&lt;450,'Исходные данные'!H29&gt;250),30,IF('Исходные данные'!H29&gt;=450,130,0)),IF(AND('Исходные данные'!F29=1,'Исходные данные'!J29=2),IF(AND('Исходные данные'!H29&lt;400,'Исходные данные'!H29&gt;=250),70,IF(AND('Исходные данные'!H29&gt;=400,'Исходные данные'!H29&lt;440),135,175)),0))))</f>
        <v>0</v>
      </c>
      <c r="L23" s="85"/>
      <c r="M23" s="85"/>
      <c r="N23" s="85"/>
      <c r="O23" s="85"/>
      <c r="P23" s="10">
        <f t="shared" si="0"/>
        <v>0</v>
      </c>
      <c r="Q23" s="10">
        <f t="shared" si="1"/>
        <v>0</v>
      </c>
      <c r="R23" s="10">
        <f t="shared" si="2"/>
        <v>0</v>
      </c>
      <c r="S23" s="10">
        <f t="shared" si="3"/>
        <v>0</v>
      </c>
      <c r="T23" s="10"/>
    </row>
    <row r="24" spans="1:20" s="3" customFormat="1">
      <c r="A24" s="65">
        <f>'Исходные данные'!B30</f>
        <v>0</v>
      </c>
      <c r="B24" s="9" t="str">
        <f>IF('Исходные данные'!F31=3,"183.00.00.005/005-01",IF('Исходные данные'!F31=1,"0148.10.006","---"))</f>
        <v>---</v>
      </c>
      <c r="C24" s="9"/>
      <c r="D24" s="78">
        <f>IF(AND('Исходные данные'!F30=3,'Исходные данные'!J30=1),'Исходные данные'!H30-'Ножницы (2)'!K24-15,IF(AND('Исходные данные'!F30=3,'Исходные данные'!J30=2),'Исходные данные'!H30-'Ножницы (2)'!K24-20,IF(AND('Исходные данные'!F30=1,'Исходные данные'!J30=1),'Исходные данные'!H30-'Ножницы (2)'!K24-10,IF(AND('Исходные данные'!F30=1,'Исходные данные'!J30=2),'Исходные данные'!H30-'Ножницы (2)'!K24-24,0))))</f>
        <v>0</v>
      </c>
      <c r="E24" s="75">
        <f>IF(AND('Исходные данные'!F30=3,'Исходные данные'!J30=1),55,IF(AND('Исходные данные'!F30=3,'Исходные данные'!J30=2),65,IF(AND('Исходные данные'!F30=1,'Исходные данные'!J30=1),52,IF(AND('Исходные данные'!F30=1,'Исходные данные'!J30=2),53,0))))</f>
        <v>0</v>
      </c>
      <c r="F24" s="66">
        <v>0.7</v>
      </c>
      <c r="G24" s="66">
        <f>'Исходные данные'!S30*2</f>
        <v>0</v>
      </c>
      <c r="H24" s="78">
        <f>IF(AND('Исходные данные'!F30=3,'Исходные данные'!J30=1),15,IF(AND('Исходные данные'!F30=3,'Исходные данные'!J30=2),25,IF(AND('Исходные данные'!F30=1,'Исходные данные'!J30=1),12,IF(AND('Исходные данные'!F30=1,'Исходные данные'!J30=2),15,0))))</f>
        <v>0</v>
      </c>
      <c r="I24" s="66">
        <v>20</v>
      </c>
      <c r="J24" s="9"/>
      <c r="K24" s="70">
        <f>IF(AND('Исходные данные'!F30=3,'Исходные данные'!J30=1),IF(AND('Исходные данные'!H30&lt;400,'Исходные данные'!H30&gt;=250),30,IF(AND('Исходные данные'!H30&lt;440,'Исходные данные'!H30&gt;=400),95,IF('Исходные данные'!H30&gt;=440,135,0))),IF(AND('Исходные данные'!F30=3,'Исходные данные'!J30=2),IF('Исходные данные'!H30&lt;450,100,IF('Исходные данные'!H30&gt;=450,135,0)),IF(AND('Исходные данные'!F30=1,'Исходные данные'!J30=1),IF(AND('Исходные данные'!H30&lt;450,'Исходные данные'!H30&gt;250),30,IF('Исходные данные'!H30&gt;=450,130,0)),IF(AND('Исходные данные'!F30=1,'Исходные данные'!J30=2),IF(AND('Исходные данные'!H30&lt;400,'Исходные данные'!H30&gt;=250),70,IF(AND('Исходные данные'!H30&gt;=400,'Исходные данные'!H30&lt;440),135,175)),0))))</f>
        <v>0</v>
      </c>
      <c r="L24" s="85"/>
      <c r="M24" s="85"/>
      <c r="N24" s="85"/>
      <c r="O24" s="85"/>
      <c r="P24" s="10">
        <f t="shared" si="0"/>
        <v>0</v>
      </c>
      <c r="Q24" s="10">
        <f t="shared" si="1"/>
        <v>0</v>
      </c>
      <c r="R24" s="10">
        <f t="shared" si="2"/>
        <v>0</v>
      </c>
      <c r="S24" s="10">
        <f t="shared" si="3"/>
        <v>0</v>
      </c>
      <c r="T24" s="10"/>
    </row>
    <row r="25" spans="1:20" s="3" customFormat="1">
      <c r="A25" s="65">
        <f>'Исходные данные'!B31</f>
        <v>0</v>
      </c>
      <c r="B25" s="9" t="str">
        <f>IF('Исходные данные'!F39=3,"183.00.00.005/005-01",IF('Исходные данные'!F39=1,"0148.10.006","---"))</f>
        <v>---</v>
      </c>
      <c r="C25" s="9"/>
      <c r="D25" s="78">
        <f>IF(AND('Исходные данные'!F31=3,'Исходные данные'!J31=1),'Исходные данные'!H31-'Ножницы (2)'!K25-15,IF(AND('Исходные данные'!F31=3,'Исходные данные'!J31=2),'Исходные данные'!H31-'Ножницы (2)'!K25-20,IF(AND('Исходные данные'!F31=1,'Исходные данные'!J31=1),'Исходные данные'!H31-'Ножницы (2)'!K25-10,IF(AND('Исходные данные'!F31=1,'Исходные данные'!J31=2),'Исходные данные'!H31-'Ножницы (2)'!K25-24,0))))</f>
        <v>0</v>
      </c>
      <c r="E25" s="75">
        <f>IF(AND('Исходные данные'!F31=3,'Исходные данные'!J31=1),55,IF(AND('Исходные данные'!F31=3,'Исходные данные'!J31=2),65,IF(AND('Исходные данные'!F31=1,'Исходные данные'!J31=1),52,IF(AND('Исходные данные'!F31=1,'Исходные данные'!J31=2),53,0))))</f>
        <v>0</v>
      </c>
      <c r="F25" s="66">
        <v>0.7</v>
      </c>
      <c r="G25" s="66">
        <f>'Исходные данные'!S31*2</f>
        <v>0</v>
      </c>
      <c r="H25" s="78">
        <f>IF(AND('Исходные данные'!F31=3,'Исходные данные'!J31=1),15,IF(AND('Исходные данные'!F31=3,'Исходные данные'!J31=2),25,IF(AND('Исходные данные'!F31=1,'Исходные данные'!J31=1),12,IF(AND('Исходные данные'!F31=1,'Исходные данные'!J31=2),15,0))))</f>
        <v>0</v>
      </c>
      <c r="I25" s="66">
        <v>20</v>
      </c>
      <c r="J25" s="9"/>
      <c r="K25" s="70">
        <f>IF(AND('Исходные данные'!F31=3,'Исходные данные'!J31=1),IF(AND('Исходные данные'!H31&lt;400,'Исходные данные'!H31&gt;=250),30,IF(AND('Исходные данные'!H31&lt;440,'Исходные данные'!H31&gt;=400),95,IF('Исходные данные'!H31&gt;=440,135,0))),IF(AND('Исходные данные'!F31=3,'Исходные данные'!J31=2),IF('Исходные данные'!H31&lt;450,100,IF('Исходные данные'!H31&gt;=450,135,0)),IF(AND('Исходные данные'!F31=1,'Исходные данные'!J31=1),IF(AND('Исходные данные'!H31&lt;450,'Исходные данные'!H31&gt;250),30,IF('Исходные данные'!H31&gt;=450,130,0)),IF(AND('Исходные данные'!F31=1,'Исходные данные'!J31=2),IF(AND('Исходные данные'!H31&lt;400,'Исходные данные'!H31&gt;=250),70,IF(AND('Исходные данные'!H31&gt;=400,'Исходные данные'!H31&lt;440),135,175)),0))))</f>
        <v>0</v>
      </c>
      <c r="L25" s="85"/>
      <c r="M25" s="85"/>
      <c r="N25" s="85"/>
      <c r="O25" s="85"/>
      <c r="P25" s="10">
        <f t="shared" si="0"/>
        <v>0</v>
      </c>
      <c r="Q25" s="10">
        <f t="shared" si="1"/>
        <v>0</v>
      </c>
      <c r="R25" s="10">
        <f t="shared" si="2"/>
        <v>0</v>
      </c>
      <c r="S25" s="10">
        <f t="shared" si="3"/>
        <v>0</v>
      </c>
      <c r="T25" s="10"/>
    </row>
    <row r="26" spans="1:20" s="3" customFormat="1">
      <c r="A26" s="31"/>
      <c r="L26" s="84"/>
      <c r="M26" s="84"/>
      <c r="N26" s="84"/>
      <c r="O26" s="84"/>
      <c r="R26" s="3">
        <f>SUM(R11:R25)</f>
        <v>0</v>
      </c>
      <c r="S26" s="3">
        <f>SUM(S11:S25)</f>
        <v>0</v>
      </c>
    </row>
    <row r="27" spans="1:20" s="3" customFormat="1">
      <c r="A27" s="31"/>
      <c r="L27" s="84"/>
      <c r="M27" s="84"/>
      <c r="N27" s="84"/>
      <c r="O27" s="84"/>
    </row>
    <row r="28" spans="1:20" s="3" customFormat="1">
      <c r="A28" s="31"/>
      <c r="B28" s="2" t="s">
        <v>40</v>
      </c>
      <c r="C28" s="2" t="s">
        <v>41</v>
      </c>
      <c r="D28" s="368" t="s">
        <v>45</v>
      </c>
      <c r="E28" s="368"/>
      <c r="F28" s="368"/>
      <c r="L28" s="84"/>
      <c r="M28" s="84"/>
      <c r="N28" s="84"/>
      <c r="O28" s="84"/>
    </row>
    <row r="29" spans="1:20" s="3" customFormat="1">
      <c r="A29" s="31"/>
      <c r="L29" s="84"/>
      <c r="M29" s="84"/>
      <c r="N29" s="84"/>
      <c r="O29" s="84"/>
    </row>
    <row r="30" spans="1:20" s="3" customFormat="1" ht="30" customHeight="1">
      <c r="A30" s="31"/>
      <c r="B30" s="2" t="s">
        <v>13</v>
      </c>
      <c r="C30" s="2" t="s">
        <v>41</v>
      </c>
      <c r="D30" s="376" t="s">
        <v>42</v>
      </c>
      <c r="E30" s="376"/>
      <c r="F30" s="376"/>
      <c r="H30" s="104">
        <v>0.38400000000000001</v>
      </c>
      <c r="L30" s="84"/>
      <c r="M30" s="84"/>
      <c r="N30" s="84"/>
      <c r="O30" s="84"/>
    </row>
    <row r="32" spans="1:20">
      <c r="A32" s="47"/>
      <c r="B32" s="47"/>
      <c r="C32" s="47"/>
      <c r="D32" s="47"/>
      <c r="E32" s="47"/>
      <c r="F32" s="47"/>
      <c r="G32" s="47"/>
      <c r="H32" s="47"/>
    </row>
    <row r="33" spans="1:8" ht="21">
      <c r="A33" s="48" t="s">
        <v>64</v>
      </c>
      <c r="B33" s="48"/>
      <c r="C33" s="48"/>
      <c r="D33" s="48"/>
      <c r="E33" s="48"/>
      <c r="F33" s="21"/>
      <c r="G33" s="21"/>
      <c r="H33" s="21"/>
    </row>
    <row r="34" spans="1:8">
      <c r="A34" s="21"/>
      <c r="B34" s="21"/>
      <c r="C34" s="21"/>
      <c r="D34" s="21"/>
      <c r="E34" s="21"/>
      <c r="F34" s="21"/>
      <c r="G34" s="21"/>
      <c r="H34" s="21"/>
    </row>
    <row r="35" spans="1:8" ht="18.75">
      <c r="A35" s="42" t="s">
        <v>73</v>
      </c>
      <c r="B35" s="42"/>
      <c r="C35" s="42">
        <f>'Исходные данные'!H13</f>
        <v>2222</v>
      </c>
      <c r="D35" s="42"/>
      <c r="E35" s="21"/>
      <c r="F35" s="42"/>
      <c r="G35" s="21"/>
      <c r="H35" s="21"/>
    </row>
    <row r="36" spans="1:8">
      <c r="A36" s="21" t="s">
        <v>78</v>
      </c>
      <c r="B36" s="21"/>
      <c r="C36" s="21"/>
      <c r="D36" s="21"/>
      <c r="E36" s="21"/>
      <c r="F36" s="21"/>
      <c r="G36" s="21"/>
      <c r="H36" s="21"/>
    </row>
    <row r="37" spans="1:8">
      <c r="A37" s="21" t="s">
        <v>65</v>
      </c>
      <c r="B37" s="21"/>
      <c r="C37" s="21"/>
      <c r="D37" s="21"/>
      <c r="E37" s="21"/>
      <c r="F37" s="21"/>
      <c r="G37" s="21"/>
      <c r="H37" s="21"/>
    </row>
    <row r="38" spans="1:8">
      <c r="A38" s="21"/>
      <c r="B38" s="21"/>
      <c r="C38" s="21"/>
      <c r="D38" s="21"/>
      <c r="E38" s="21"/>
      <c r="F38" s="21"/>
      <c r="G38" s="21"/>
      <c r="H38" s="21"/>
    </row>
    <row r="39" spans="1:8">
      <c r="A39" s="21" t="s">
        <v>40</v>
      </c>
      <c r="B39" s="21" t="s">
        <v>45</v>
      </c>
      <c r="C39" s="21"/>
      <c r="D39" s="21" t="s">
        <v>131</v>
      </c>
      <c r="E39" s="21"/>
      <c r="F39" s="21"/>
      <c r="G39" s="21"/>
      <c r="H39" s="21"/>
    </row>
    <row r="40" spans="1:8">
      <c r="A40" s="21"/>
      <c r="B40" s="21"/>
      <c r="C40" s="21"/>
      <c r="D40" s="21"/>
      <c r="E40" s="21"/>
      <c r="F40" s="21"/>
      <c r="G40" s="21"/>
      <c r="H40" s="21"/>
    </row>
    <row r="41" spans="1:8">
      <c r="A41" s="21" t="s">
        <v>66</v>
      </c>
      <c r="B41" s="21"/>
      <c r="C41" s="21"/>
      <c r="D41" s="21" t="s">
        <v>131</v>
      </c>
      <c r="E41" s="21"/>
      <c r="F41" s="21"/>
      <c r="G41" s="21"/>
      <c r="H41" s="21"/>
    </row>
    <row r="42" spans="1:8">
      <c r="A42" s="21"/>
      <c r="B42" s="21"/>
      <c r="C42" s="21"/>
      <c r="D42" s="21"/>
      <c r="E42" s="21"/>
      <c r="F42" s="21"/>
      <c r="G42" s="21"/>
      <c r="H42" s="21"/>
    </row>
    <row r="43" spans="1:8">
      <c r="A43" s="21"/>
      <c r="B43" s="21"/>
      <c r="C43" s="21"/>
      <c r="D43" s="21"/>
      <c r="E43" s="21"/>
      <c r="F43" s="21"/>
      <c r="G43" s="21"/>
      <c r="H43" s="21"/>
    </row>
    <row r="44" spans="1:8">
      <c r="A44" s="21" t="s">
        <v>67</v>
      </c>
      <c r="B44" s="21"/>
      <c r="C44" s="21"/>
      <c r="D44" s="21" t="s">
        <v>131</v>
      </c>
      <c r="E44" s="21"/>
      <c r="F44" s="21"/>
      <c r="G44" s="21"/>
      <c r="H44" s="21"/>
    </row>
    <row r="45" spans="1:8">
      <c r="A45" s="21"/>
      <c r="B45" s="21"/>
      <c r="C45" s="21"/>
      <c r="D45" s="21"/>
      <c r="E45" s="21"/>
      <c r="F45" s="21"/>
      <c r="G45" s="21"/>
      <c r="H45" s="21"/>
    </row>
  </sheetData>
  <mergeCells count="14">
    <mergeCell ref="U9:X9"/>
    <mergeCell ref="A9:A10"/>
    <mergeCell ref="D28:F28"/>
    <mergeCell ref="D30:F30"/>
    <mergeCell ref="B9:B10"/>
    <mergeCell ref="H9:I9"/>
    <mergeCell ref="E9:E10"/>
    <mergeCell ref="F9:F10"/>
    <mergeCell ref="G9:G10"/>
    <mergeCell ref="C9:C10"/>
    <mergeCell ref="L9:L10"/>
    <mergeCell ref="M9:M10"/>
    <mergeCell ref="N9:N10"/>
    <mergeCell ref="O9:O10"/>
  </mergeCells>
  <pageMargins left="7.874015748031496E-2" right="7.874015748031496E-2" top="0.74803149606299213" bottom="0.74803149606299213" header="0.31496062992125984" footer="0.31496062992125984"/>
  <pageSetup paperSize="9" scale="60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V40"/>
  <sheetViews>
    <sheetView zoomScale="110" zoomScaleNormal="110" workbookViewId="0">
      <selection activeCell="O1" sqref="O1:W1048576"/>
    </sheetView>
  </sheetViews>
  <sheetFormatPr defaultRowHeight="14.25"/>
  <cols>
    <col min="1" max="1" width="5" style="26" customWidth="1"/>
    <col min="2" max="2" width="9.7109375" style="26" customWidth="1"/>
    <col min="3" max="3" width="11.7109375" style="27" customWidth="1"/>
    <col min="4" max="4" width="11.42578125" style="27" customWidth="1"/>
    <col min="5" max="5" width="8.85546875" style="27" customWidth="1"/>
    <col min="6" max="6" width="12" style="283" customWidth="1"/>
    <col min="7" max="7" width="8.28515625" style="27" customWidth="1"/>
    <col min="8" max="8" width="8.85546875" style="27" customWidth="1"/>
    <col min="9" max="9" width="8.85546875" style="283" hidden="1" customWidth="1"/>
    <col min="10" max="10" width="10.42578125" style="27" customWidth="1"/>
    <col min="11" max="11" width="11" style="27" customWidth="1"/>
    <col min="12" max="12" width="7.85546875" style="27" customWidth="1"/>
    <col min="13" max="13" width="8.5703125" style="27" customWidth="1"/>
    <col min="14" max="14" width="8.85546875" style="27" customWidth="1"/>
    <col min="15" max="15" width="8.85546875" style="283" hidden="1" customWidth="1"/>
    <col min="16" max="17" width="10.140625" style="26" hidden="1" customWidth="1"/>
    <col min="18" max="21" width="11.42578125" style="26" hidden="1" customWidth="1"/>
    <col min="22" max="22" width="12.28515625" style="26" hidden="1" customWidth="1"/>
    <col min="23" max="23" width="0" style="26" hidden="1" customWidth="1"/>
    <col min="24" max="16384" width="9.140625" style="26"/>
  </cols>
  <sheetData>
    <row r="1" spans="2:22">
      <c r="B1" s="26" t="s">
        <v>134</v>
      </c>
      <c r="C1" s="283" t="s">
        <v>27</v>
      </c>
    </row>
    <row r="2" spans="2:22" ht="20.25">
      <c r="B2" s="36"/>
      <c r="C2" s="27" t="str">
        <f>'Исходные данные'!B13</f>
        <v>Сопроводительный лист</v>
      </c>
      <c r="E2" s="286"/>
    </row>
    <row r="3" spans="2:22" ht="23.25">
      <c r="G3" s="385" t="s">
        <v>249</v>
      </c>
      <c r="H3" s="385"/>
      <c r="I3" s="385"/>
      <c r="J3" s="385"/>
      <c r="K3" s="385"/>
      <c r="L3" s="385"/>
    </row>
    <row r="4" spans="2:22">
      <c r="G4" s="26"/>
      <c r="H4" s="26" t="s">
        <v>250</v>
      </c>
      <c r="I4" s="26"/>
      <c r="J4" s="26"/>
      <c r="K4" s="26"/>
      <c r="L4" s="26"/>
    </row>
    <row r="5" spans="2:22" ht="15">
      <c r="G5" s="386"/>
      <c r="H5" s="387"/>
      <c r="I5" s="387"/>
      <c r="J5" s="387"/>
      <c r="K5" s="387"/>
      <c r="L5" s="387"/>
    </row>
    <row r="6" spans="2:22" ht="15" thickBot="1"/>
    <row r="7" spans="2:22" s="28" customFormat="1" ht="47.25" customHeight="1" thickBot="1">
      <c r="B7" s="285" t="s">
        <v>38</v>
      </c>
      <c r="C7" s="285" t="s">
        <v>37</v>
      </c>
      <c r="D7" s="285" t="s">
        <v>36</v>
      </c>
      <c r="E7" s="285" t="s">
        <v>2</v>
      </c>
      <c r="F7" s="285" t="s">
        <v>248</v>
      </c>
      <c r="G7" s="285" t="s">
        <v>35</v>
      </c>
      <c r="H7" s="285" t="s">
        <v>34</v>
      </c>
      <c r="I7" s="285"/>
      <c r="J7" s="285" t="s">
        <v>33</v>
      </c>
      <c r="K7" s="285" t="s">
        <v>32</v>
      </c>
      <c r="L7" s="285" t="s">
        <v>31</v>
      </c>
      <c r="M7" s="285" t="s">
        <v>30</v>
      </c>
      <c r="N7" s="285" t="s">
        <v>29</v>
      </c>
      <c r="O7" s="287"/>
      <c r="P7" s="291" t="s">
        <v>252</v>
      </c>
      <c r="Q7" s="290" t="s">
        <v>253</v>
      </c>
      <c r="R7" s="291" t="s">
        <v>254</v>
      </c>
      <c r="S7" s="290" t="s">
        <v>256</v>
      </c>
      <c r="T7" s="291" t="s">
        <v>255</v>
      </c>
      <c r="U7" s="290" t="s">
        <v>257</v>
      </c>
      <c r="V7" s="290" t="s">
        <v>251</v>
      </c>
    </row>
    <row r="8" spans="2:22" ht="15">
      <c r="B8" s="320">
        <f>'Исходные данные'!B17</f>
        <v>0</v>
      </c>
      <c r="C8" s="321">
        <f>IF('Исходные данные'!U17=1,'Исходные данные'!G17,0)</f>
        <v>0</v>
      </c>
      <c r="D8" s="321">
        <f>IF('Исходные данные'!U17=1,'Исходные данные'!H17,0)</f>
        <v>0</v>
      </c>
      <c r="E8" s="321">
        <f>IF('Исходные данные'!U17=1,'Исходные данные'!S17,0)</f>
        <v>0</v>
      </c>
      <c r="F8" s="321">
        <f>IF(C8=0,0,IF(C8&lt;=1000,E8,IF(C8&gt;1000,E8*2,0)))</f>
        <v>0</v>
      </c>
      <c r="G8" s="321">
        <f>IF(C8=0,0,IF(C8&lt;=1000,'Исходные данные'!G17+76,IF(C8&gt;1000,('Исходные данные'!G17/2-40.5)+76,0)))</f>
        <v>0</v>
      </c>
      <c r="H8" s="346">
        <f>IF(D8=0,0,IF(D8&gt;1000,(D8-80)/2,IF(D8&lt;1000,D8+76,0)))</f>
        <v>0</v>
      </c>
      <c r="I8" s="321">
        <f>ROUNDUP(J8,0)</f>
        <v>0</v>
      </c>
      <c r="J8" s="321">
        <f>ROUNDDOWN(IF(C8&lt;=1000,(D8-4)/25,IF(C8&gt;1000,(D8-4)/25,0)),0)</f>
        <v>0</v>
      </c>
      <c r="K8" s="321">
        <f>IF(C8=0,0,IF(C8&lt;=1000,C8-12,IF(C8&gt;1000,(G8-76)-12,0)))</f>
        <v>0</v>
      </c>
      <c r="L8" s="321">
        <f>IF(F8=0,0,IF(F8&gt;0,F8*2,0))</f>
        <v>0</v>
      </c>
      <c r="M8" s="345">
        <f>IF(F8=0,0,IF(F8&gt;0,F8*2,0))</f>
        <v>0</v>
      </c>
      <c r="N8" s="322">
        <f>J8*F8</f>
        <v>0</v>
      </c>
      <c r="O8" s="288"/>
      <c r="P8" s="289">
        <f>IF(K8=0,0,IF(K8&lt;=250,0.0045,IF(K8&lt;=500,0.0055,IF(K8&lt;=750,0.006,IF(K8&lt;=1000,0.007,0)))))</f>
        <v>0</v>
      </c>
      <c r="Q8" s="289">
        <f>P8*N8</f>
        <v>0</v>
      </c>
      <c r="R8" s="289">
        <f>IF(G8=0,0,IF(G8&lt;=350,0.027,IF(G8&lt;=500,0.011,IF(G8&lt;=750,0.012,IF(G8&lt;=1000,0.014,0)))))</f>
        <v>0</v>
      </c>
      <c r="S8" s="289">
        <f>R8*L8</f>
        <v>0</v>
      </c>
      <c r="T8" s="289">
        <f>IF(H8=0,0,IF(H8&lt;=350,0.027,IF(H8&lt;=500,0.011,IF(H8&lt;=750,0.012,IF(H8&lt;=1000,0.014,0)))))</f>
        <v>0</v>
      </c>
      <c r="U8" s="289">
        <f>T8*M8</f>
        <v>0</v>
      </c>
      <c r="V8" s="289">
        <f>Q8+S8+U8</f>
        <v>0</v>
      </c>
    </row>
    <row r="9" spans="2:22" ht="15">
      <c r="B9" s="323">
        <f>'Исходные данные'!B18</f>
        <v>0</v>
      </c>
      <c r="C9" s="324">
        <f>IF('Исходные данные'!U18=1,'Исходные данные'!G18,0)</f>
        <v>0</v>
      </c>
      <c r="D9" s="324">
        <f>IF('Исходные данные'!U18=1,'Исходные данные'!H18,0)</f>
        <v>0</v>
      </c>
      <c r="E9" s="324">
        <f>IF('Исходные данные'!U18=1,'Исходные данные'!S18,0)</f>
        <v>0</v>
      </c>
      <c r="F9" s="324">
        <f t="shared" ref="F9:F22" si="0">IF(C9=0,0,IF(C9&lt;=1000,E9,IF(C9&gt;1000,E9*2,0)))</f>
        <v>0</v>
      </c>
      <c r="G9" s="324">
        <f>IF(C9=0,0,IF(C9&lt;=1000,'Исходные данные'!G18+76,IF(C9&gt;1000,('Исходные данные'!G18/2-40.5)+76,0)))</f>
        <v>0</v>
      </c>
      <c r="H9" s="324">
        <f t="shared" ref="H9:H22" si="1">IF(D9=0,0,IF(D9&gt;1000,(D9-80)/2,IF(D9&lt;1000,D9+76,0)))</f>
        <v>0</v>
      </c>
      <c r="I9" s="324">
        <f t="shared" ref="I9:I22" si="2">ROUNDUP(J9,0)</f>
        <v>0</v>
      </c>
      <c r="J9" s="324">
        <f>ROUNDDOWN(IF(C9&lt;=1000,(D9-4)/25,IF(C9&gt;1000,(D9-4)/25,0)),0)</f>
        <v>0</v>
      </c>
      <c r="K9" s="324">
        <f>IF(C9=0,0,IF(C9&lt;=1000,C9-12,IF(C9&gt;1000,(G9-76)-12,0)))</f>
        <v>0</v>
      </c>
      <c r="L9" s="324">
        <f t="shared" ref="L9:L22" si="3">IF(F9=0,0,IF(F9&gt;0,F9*2,0))</f>
        <v>0</v>
      </c>
      <c r="M9" s="325">
        <f>IF(F9=0,0,IF(F9&gt;0,F9*2,0))</f>
        <v>0</v>
      </c>
      <c r="N9" s="326">
        <f t="shared" ref="N9:N22" si="4">J9*F9</f>
        <v>0</v>
      </c>
      <c r="O9" s="288"/>
      <c r="P9" s="289">
        <f t="shared" ref="P9:P22" si="5">IF(K9=0,0,IF(K9&lt;=250,0.0045,IF(K9&lt;=500,0.0055,IF(K9&lt;=750,0.006,IF(K9&lt;=1000,0.007,0)))))</f>
        <v>0</v>
      </c>
      <c r="Q9" s="289">
        <f t="shared" ref="Q9:Q22" si="6">P9*N9</f>
        <v>0</v>
      </c>
      <c r="R9" s="289">
        <f t="shared" ref="R9:R22" si="7">IF(G9=0,0,IF(G9&lt;=350,0.027,IF(G9&lt;=500,0.011,IF(G9&lt;=750,0.012,IF(G9&lt;=1000,0.014,0)))))</f>
        <v>0</v>
      </c>
      <c r="S9" s="289">
        <f t="shared" ref="S9:S22" si="8">R9*L9</f>
        <v>0</v>
      </c>
      <c r="T9" s="289">
        <f t="shared" ref="T9:T22" si="9">IF(H9=0,0,IF(H9&lt;=350,0.027,IF(H9&lt;=500,0.011,IF(H9&lt;=750,0.012,IF(H9&lt;=1000,0.014,0)))))</f>
        <v>0</v>
      </c>
      <c r="U9" s="289">
        <f t="shared" ref="U9:U22" si="10">T9*M9</f>
        <v>0</v>
      </c>
      <c r="V9" s="289">
        <f t="shared" ref="V9:V22" si="11">Q9+S9+U9</f>
        <v>0</v>
      </c>
    </row>
    <row r="10" spans="2:22" ht="15">
      <c r="B10" s="323">
        <f>'Исходные данные'!B19</f>
        <v>0</v>
      </c>
      <c r="C10" s="324">
        <f>IF('Исходные данные'!U19=1,'Исходные данные'!G19,0)</f>
        <v>0</v>
      </c>
      <c r="D10" s="324">
        <f>IF('Исходные данные'!U19=1,'Исходные данные'!H19,0)</f>
        <v>0</v>
      </c>
      <c r="E10" s="324">
        <f>IF('Исходные данные'!U19=1,'Исходные данные'!S19,0)</f>
        <v>0</v>
      </c>
      <c r="F10" s="324">
        <f t="shared" si="0"/>
        <v>0</v>
      </c>
      <c r="G10" s="324">
        <f>IF(C10=0,0,IF(C10&lt;=1000,'Исходные данные'!G19+76,IF(C10&gt;1000,('Исходные данные'!G19/2-40.5)+76,0)))</f>
        <v>0</v>
      </c>
      <c r="H10" s="324">
        <f t="shared" si="1"/>
        <v>0</v>
      </c>
      <c r="I10" s="324">
        <f t="shared" si="2"/>
        <v>0</v>
      </c>
      <c r="J10" s="324">
        <f t="shared" ref="J10:J22" si="12">ROUNDDOWN(IF(C10&lt;=1000,(D10-4)/25,IF(C10&gt;1000,(D10-4)/25,0)),0)</f>
        <v>0</v>
      </c>
      <c r="K10" s="324">
        <f t="shared" ref="K10:K22" si="13">IF(C10=0,0,IF(C10&lt;=1000,C10-12,IF(C10&gt;1000,(G10-76)-12,0)))</f>
        <v>0</v>
      </c>
      <c r="L10" s="324">
        <f t="shared" si="3"/>
        <v>0</v>
      </c>
      <c r="M10" s="325">
        <f t="shared" ref="M10:M22" si="14">IF(F10=0,0,IF(F10&gt;0,F10*2,0))</f>
        <v>0</v>
      </c>
      <c r="N10" s="326">
        <f t="shared" si="4"/>
        <v>0</v>
      </c>
      <c r="O10" s="288"/>
      <c r="P10" s="289">
        <f t="shared" si="5"/>
        <v>0</v>
      </c>
      <c r="Q10" s="289">
        <f t="shared" si="6"/>
        <v>0</v>
      </c>
      <c r="R10" s="289">
        <f t="shared" si="7"/>
        <v>0</v>
      </c>
      <c r="S10" s="289">
        <f t="shared" si="8"/>
        <v>0</v>
      </c>
      <c r="T10" s="289">
        <f t="shared" si="9"/>
        <v>0</v>
      </c>
      <c r="U10" s="289">
        <f t="shared" si="10"/>
        <v>0</v>
      </c>
      <c r="V10" s="289">
        <f t="shared" si="11"/>
        <v>0</v>
      </c>
    </row>
    <row r="11" spans="2:22" ht="15">
      <c r="B11" s="323">
        <f>'Исходные данные'!B20</f>
        <v>0</v>
      </c>
      <c r="C11" s="324">
        <f>IF('Исходные данные'!U20=1,'Исходные данные'!G20,0)</f>
        <v>0</v>
      </c>
      <c r="D11" s="324">
        <f>IF('Исходные данные'!U20=1,'Исходные данные'!H20,0)</f>
        <v>0</v>
      </c>
      <c r="E11" s="324">
        <f>IF('Исходные данные'!U20=1,'Исходные данные'!S20,0)</f>
        <v>0</v>
      </c>
      <c r="F11" s="324">
        <f t="shared" si="0"/>
        <v>0</v>
      </c>
      <c r="G11" s="324">
        <f>IF(C11=0,0,IF(C11&lt;=1000,'Исходные данные'!G20+76,IF(C11&gt;1000,('Исходные данные'!G20/2-40.5)+76,0)))</f>
        <v>0</v>
      </c>
      <c r="H11" s="324">
        <f t="shared" si="1"/>
        <v>0</v>
      </c>
      <c r="I11" s="324">
        <f t="shared" si="2"/>
        <v>0</v>
      </c>
      <c r="J11" s="324">
        <f t="shared" si="12"/>
        <v>0</v>
      </c>
      <c r="K11" s="324">
        <f t="shared" si="13"/>
        <v>0</v>
      </c>
      <c r="L11" s="324">
        <f t="shared" si="3"/>
        <v>0</v>
      </c>
      <c r="M11" s="325">
        <f t="shared" si="14"/>
        <v>0</v>
      </c>
      <c r="N11" s="326">
        <f t="shared" si="4"/>
        <v>0</v>
      </c>
      <c r="O11" s="288"/>
      <c r="P11" s="289">
        <f t="shared" si="5"/>
        <v>0</v>
      </c>
      <c r="Q11" s="289">
        <f t="shared" si="6"/>
        <v>0</v>
      </c>
      <c r="R11" s="289">
        <f t="shared" si="7"/>
        <v>0</v>
      </c>
      <c r="S11" s="289">
        <f t="shared" si="8"/>
        <v>0</v>
      </c>
      <c r="T11" s="289">
        <f t="shared" si="9"/>
        <v>0</v>
      </c>
      <c r="U11" s="289">
        <f t="shared" si="10"/>
        <v>0</v>
      </c>
      <c r="V11" s="289">
        <f t="shared" si="11"/>
        <v>0</v>
      </c>
    </row>
    <row r="12" spans="2:22" ht="15">
      <c r="B12" s="323">
        <f>'Исходные данные'!B21</f>
        <v>0</v>
      </c>
      <c r="C12" s="324">
        <f>IF('Исходные данные'!U21=1,'Исходные данные'!G21,0)</f>
        <v>0</v>
      </c>
      <c r="D12" s="324">
        <f>IF('Исходные данные'!U21=1,'Исходные данные'!H21,0)</f>
        <v>0</v>
      </c>
      <c r="E12" s="324">
        <f>IF('Исходные данные'!U21=1,'Исходные данные'!S21,0)</f>
        <v>0</v>
      </c>
      <c r="F12" s="324">
        <f t="shared" si="0"/>
        <v>0</v>
      </c>
      <c r="G12" s="324">
        <f>IF(C12=0,0,IF(C12&lt;=1000,'Исходные данные'!G21+76,IF(C12&gt;1000,('Исходные данные'!G21/2-40.5)+76,0)))</f>
        <v>0</v>
      </c>
      <c r="H12" s="324">
        <f t="shared" si="1"/>
        <v>0</v>
      </c>
      <c r="I12" s="324">
        <f t="shared" si="2"/>
        <v>0</v>
      </c>
      <c r="J12" s="324">
        <f t="shared" si="12"/>
        <v>0</v>
      </c>
      <c r="K12" s="324">
        <f t="shared" si="13"/>
        <v>0</v>
      </c>
      <c r="L12" s="324">
        <f t="shared" si="3"/>
        <v>0</v>
      </c>
      <c r="M12" s="325">
        <f t="shared" si="14"/>
        <v>0</v>
      </c>
      <c r="N12" s="326">
        <f t="shared" si="4"/>
        <v>0</v>
      </c>
      <c r="O12" s="288"/>
      <c r="P12" s="289">
        <f t="shared" si="5"/>
        <v>0</v>
      </c>
      <c r="Q12" s="289">
        <f t="shared" si="6"/>
        <v>0</v>
      </c>
      <c r="R12" s="289">
        <f t="shared" si="7"/>
        <v>0</v>
      </c>
      <c r="S12" s="289">
        <f t="shared" si="8"/>
        <v>0</v>
      </c>
      <c r="T12" s="289">
        <f t="shared" si="9"/>
        <v>0</v>
      </c>
      <c r="U12" s="289">
        <f t="shared" si="10"/>
        <v>0</v>
      </c>
      <c r="V12" s="289">
        <f t="shared" si="11"/>
        <v>0</v>
      </c>
    </row>
    <row r="13" spans="2:22" ht="15">
      <c r="B13" s="323">
        <f>'Исходные данные'!B22</f>
        <v>0</v>
      </c>
      <c r="C13" s="324">
        <f>IF('Исходные данные'!U22=1,'Исходные данные'!G22,0)</f>
        <v>0</v>
      </c>
      <c r="D13" s="324">
        <f>IF('Исходные данные'!U22=1,'Исходные данные'!H22,0)</f>
        <v>0</v>
      </c>
      <c r="E13" s="324">
        <f>IF('Исходные данные'!U22=1,'Исходные данные'!S22,0)</f>
        <v>0</v>
      </c>
      <c r="F13" s="324">
        <f t="shared" si="0"/>
        <v>0</v>
      </c>
      <c r="G13" s="324">
        <f>IF(C13=0,0,IF(C13&lt;=1000,'Исходные данные'!G22+76,IF(C13&gt;1000,('Исходные данные'!G22/2-40.5)+76,0)))</f>
        <v>0</v>
      </c>
      <c r="H13" s="324">
        <f t="shared" si="1"/>
        <v>0</v>
      </c>
      <c r="I13" s="324">
        <f t="shared" si="2"/>
        <v>0</v>
      </c>
      <c r="J13" s="324">
        <f t="shared" si="12"/>
        <v>0</v>
      </c>
      <c r="K13" s="324">
        <f t="shared" si="13"/>
        <v>0</v>
      </c>
      <c r="L13" s="324">
        <f t="shared" si="3"/>
        <v>0</v>
      </c>
      <c r="M13" s="325">
        <f t="shared" si="14"/>
        <v>0</v>
      </c>
      <c r="N13" s="326">
        <f t="shared" si="4"/>
        <v>0</v>
      </c>
      <c r="O13" s="288"/>
      <c r="P13" s="289">
        <f t="shared" si="5"/>
        <v>0</v>
      </c>
      <c r="Q13" s="289">
        <f t="shared" si="6"/>
        <v>0</v>
      </c>
      <c r="R13" s="289">
        <f t="shared" si="7"/>
        <v>0</v>
      </c>
      <c r="S13" s="289">
        <f t="shared" si="8"/>
        <v>0</v>
      </c>
      <c r="T13" s="289">
        <f t="shared" si="9"/>
        <v>0</v>
      </c>
      <c r="U13" s="289">
        <f t="shared" si="10"/>
        <v>0</v>
      </c>
      <c r="V13" s="289">
        <f t="shared" si="11"/>
        <v>0</v>
      </c>
    </row>
    <row r="14" spans="2:22" ht="15">
      <c r="B14" s="323">
        <f>'Исходные данные'!B23</f>
        <v>0</v>
      </c>
      <c r="C14" s="324">
        <f>IF('Исходные данные'!U23=1,'Исходные данные'!G23,0)</f>
        <v>0</v>
      </c>
      <c r="D14" s="324">
        <f>IF('Исходные данные'!U23=1,'Исходные данные'!H23,0)</f>
        <v>0</v>
      </c>
      <c r="E14" s="324">
        <f>IF('Исходные данные'!U23=1,'Исходные данные'!S23,0)</f>
        <v>0</v>
      </c>
      <c r="F14" s="324">
        <f t="shared" si="0"/>
        <v>0</v>
      </c>
      <c r="G14" s="324">
        <f>IF(C14=0,0,IF(C14&lt;=1000,'Исходные данные'!G23+76,IF(C14&gt;1000,('Исходные данные'!G23/2-40.5)+76,0)))</f>
        <v>0</v>
      </c>
      <c r="H14" s="324">
        <f t="shared" si="1"/>
        <v>0</v>
      </c>
      <c r="I14" s="324">
        <f t="shared" si="2"/>
        <v>0</v>
      </c>
      <c r="J14" s="324">
        <f t="shared" si="12"/>
        <v>0</v>
      </c>
      <c r="K14" s="324">
        <f t="shared" si="13"/>
        <v>0</v>
      </c>
      <c r="L14" s="324">
        <f t="shared" si="3"/>
        <v>0</v>
      </c>
      <c r="M14" s="325">
        <f t="shared" si="14"/>
        <v>0</v>
      </c>
      <c r="N14" s="326">
        <f t="shared" si="4"/>
        <v>0</v>
      </c>
      <c r="O14" s="288"/>
      <c r="P14" s="289">
        <f t="shared" si="5"/>
        <v>0</v>
      </c>
      <c r="Q14" s="289">
        <f t="shared" si="6"/>
        <v>0</v>
      </c>
      <c r="R14" s="289">
        <f t="shared" si="7"/>
        <v>0</v>
      </c>
      <c r="S14" s="289">
        <f t="shared" si="8"/>
        <v>0</v>
      </c>
      <c r="T14" s="289">
        <f t="shared" si="9"/>
        <v>0</v>
      </c>
      <c r="U14" s="289">
        <f t="shared" si="10"/>
        <v>0</v>
      </c>
      <c r="V14" s="289">
        <f t="shared" si="11"/>
        <v>0</v>
      </c>
    </row>
    <row r="15" spans="2:22" ht="15">
      <c r="B15" s="323">
        <f>'Исходные данные'!B24</f>
        <v>0</v>
      </c>
      <c r="C15" s="324">
        <f>IF('Исходные данные'!U24=1,'Исходные данные'!G24,0)</f>
        <v>0</v>
      </c>
      <c r="D15" s="324">
        <f>IF('Исходные данные'!U24=1,'Исходные данные'!H24,0)</f>
        <v>0</v>
      </c>
      <c r="E15" s="324">
        <f>IF('Исходные данные'!U24=1,'Исходные данные'!S24,0)</f>
        <v>0</v>
      </c>
      <c r="F15" s="324">
        <f t="shared" si="0"/>
        <v>0</v>
      </c>
      <c r="G15" s="324">
        <f>IF(C15=0,0,IF(C15&lt;=1000,'Исходные данные'!G24+76,IF(C15&gt;1000,('Исходные данные'!G24/2-40.5)+76,0)))</f>
        <v>0</v>
      </c>
      <c r="H15" s="324">
        <f t="shared" si="1"/>
        <v>0</v>
      </c>
      <c r="I15" s="324">
        <f t="shared" si="2"/>
        <v>0</v>
      </c>
      <c r="J15" s="324">
        <f t="shared" si="12"/>
        <v>0</v>
      </c>
      <c r="K15" s="324">
        <f t="shared" si="13"/>
        <v>0</v>
      </c>
      <c r="L15" s="324">
        <f t="shared" si="3"/>
        <v>0</v>
      </c>
      <c r="M15" s="325">
        <f t="shared" si="14"/>
        <v>0</v>
      </c>
      <c r="N15" s="326">
        <f t="shared" si="4"/>
        <v>0</v>
      </c>
      <c r="O15" s="288"/>
      <c r="P15" s="289">
        <f t="shared" si="5"/>
        <v>0</v>
      </c>
      <c r="Q15" s="289">
        <f t="shared" si="6"/>
        <v>0</v>
      </c>
      <c r="R15" s="289">
        <f t="shared" si="7"/>
        <v>0</v>
      </c>
      <c r="S15" s="289">
        <f t="shared" si="8"/>
        <v>0</v>
      </c>
      <c r="T15" s="289">
        <f t="shared" si="9"/>
        <v>0</v>
      </c>
      <c r="U15" s="289">
        <f t="shared" si="10"/>
        <v>0</v>
      </c>
      <c r="V15" s="289">
        <f t="shared" si="11"/>
        <v>0</v>
      </c>
    </row>
    <row r="16" spans="2:22" ht="15">
      <c r="B16" s="323">
        <f>'Исходные данные'!B25</f>
        <v>0</v>
      </c>
      <c r="C16" s="324">
        <f>IF('Исходные данные'!U25=1,'Исходные данные'!G25,0)</f>
        <v>0</v>
      </c>
      <c r="D16" s="324">
        <f>IF('Исходные данные'!U25=1,'Исходные данные'!H25,0)</f>
        <v>0</v>
      </c>
      <c r="E16" s="324">
        <f>IF('Исходные данные'!U25=1,'Исходные данные'!S25,0)</f>
        <v>0</v>
      </c>
      <c r="F16" s="324">
        <f t="shared" si="0"/>
        <v>0</v>
      </c>
      <c r="G16" s="324">
        <f>IF(C16=0,0,IF(C16&lt;=1000,'Исходные данные'!G25+76,IF(C16&gt;1000,('Исходные данные'!G25/2-40.5)+76,0)))</f>
        <v>0</v>
      </c>
      <c r="H16" s="324">
        <f t="shared" si="1"/>
        <v>0</v>
      </c>
      <c r="I16" s="324">
        <f t="shared" si="2"/>
        <v>0</v>
      </c>
      <c r="J16" s="324">
        <f t="shared" si="12"/>
        <v>0</v>
      </c>
      <c r="K16" s="324">
        <f t="shared" si="13"/>
        <v>0</v>
      </c>
      <c r="L16" s="324">
        <f t="shared" si="3"/>
        <v>0</v>
      </c>
      <c r="M16" s="325">
        <f t="shared" si="14"/>
        <v>0</v>
      </c>
      <c r="N16" s="326">
        <f t="shared" si="4"/>
        <v>0</v>
      </c>
      <c r="O16" s="288"/>
      <c r="P16" s="289">
        <f t="shared" si="5"/>
        <v>0</v>
      </c>
      <c r="Q16" s="289">
        <f t="shared" si="6"/>
        <v>0</v>
      </c>
      <c r="R16" s="289">
        <f t="shared" si="7"/>
        <v>0</v>
      </c>
      <c r="S16" s="289">
        <f t="shared" si="8"/>
        <v>0</v>
      </c>
      <c r="T16" s="289">
        <f t="shared" si="9"/>
        <v>0</v>
      </c>
      <c r="U16" s="289">
        <f t="shared" si="10"/>
        <v>0</v>
      </c>
      <c r="V16" s="289">
        <f t="shared" si="11"/>
        <v>0</v>
      </c>
    </row>
    <row r="17" spans="2:22" ht="15">
      <c r="B17" s="323">
        <f>'Исходные данные'!B26</f>
        <v>0</v>
      </c>
      <c r="C17" s="324">
        <f>IF('Исходные данные'!U26=1,'Исходные данные'!G26,0)</f>
        <v>0</v>
      </c>
      <c r="D17" s="324">
        <f>IF('Исходные данные'!U26=1,'Исходные данные'!H26,0)</f>
        <v>0</v>
      </c>
      <c r="E17" s="324">
        <f>IF('Исходные данные'!U26=1,'Исходные данные'!S26,0)</f>
        <v>0</v>
      </c>
      <c r="F17" s="324">
        <f t="shared" si="0"/>
        <v>0</v>
      </c>
      <c r="G17" s="324">
        <f>IF(C17=0,0,IF(C17&lt;=1000,'Исходные данные'!G26+76,IF(C17&gt;1000,('Исходные данные'!G26/2-40.5)+76,0)))</f>
        <v>0</v>
      </c>
      <c r="H17" s="324">
        <f t="shared" si="1"/>
        <v>0</v>
      </c>
      <c r="I17" s="324">
        <f t="shared" si="2"/>
        <v>0</v>
      </c>
      <c r="J17" s="324">
        <f t="shared" si="12"/>
        <v>0</v>
      </c>
      <c r="K17" s="324">
        <f t="shared" si="13"/>
        <v>0</v>
      </c>
      <c r="L17" s="324">
        <f t="shared" si="3"/>
        <v>0</v>
      </c>
      <c r="M17" s="325">
        <f t="shared" si="14"/>
        <v>0</v>
      </c>
      <c r="N17" s="326">
        <f t="shared" si="4"/>
        <v>0</v>
      </c>
      <c r="O17" s="288"/>
      <c r="P17" s="289">
        <f t="shared" si="5"/>
        <v>0</v>
      </c>
      <c r="Q17" s="289">
        <f t="shared" si="6"/>
        <v>0</v>
      </c>
      <c r="R17" s="289">
        <f t="shared" si="7"/>
        <v>0</v>
      </c>
      <c r="S17" s="289">
        <f t="shared" si="8"/>
        <v>0</v>
      </c>
      <c r="T17" s="289">
        <f t="shared" si="9"/>
        <v>0</v>
      </c>
      <c r="U17" s="289">
        <f t="shared" si="10"/>
        <v>0</v>
      </c>
      <c r="V17" s="289">
        <f t="shared" si="11"/>
        <v>0</v>
      </c>
    </row>
    <row r="18" spans="2:22" ht="15">
      <c r="B18" s="323">
        <f>'Исходные данные'!B27</f>
        <v>0</v>
      </c>
      <c r="C18" s="324">
        <f>IF('Исходные данные'!U27=1,'Исходные данные'!G27,0)</f>
        <v>0</v>
      </c>
      <c r="D18" s="324">
        <f>IF('Исходные данные'!U27=1,'Исходные данные'!H27,0)</f>
        <v>0</v>
      </c>
      <c r="E18" s="324">
        <f>IF('Исходные данные'!U27=1,'Исходные данные'!S27,0)</f>
        <v>0</v>
      </c>
      <c r="F18" s="324">
        <f t="shared" si="0"/>
        <v>0</v>
      </c>
      <c r="G18" s="324">
        <f>IF(C18=0,0,IF(C18&lt;=1000,'Исходные данные'!G27+76,IF(C18&gt;1000,('Исходные данные'!G27/2-40.5)+76,0)))</f>
        <v>0</v>
      </c>
      <c r="H18" s="324">
        <f t="shared" si="1"/>
        <v>0</v>
      </c>
      <c r="I18" s="324">
        <f t="shared" si="2"/>
        <v>0</v>
      </c>
      <c r="J18" s="324">
        <f t="shared" si="12"/>
        <v>0</v>
      </c>
      <c r="K18" s="324">
        <f t="shared" si="13"/>
        <v>0</v>
      </c>
      <c r="L18" s="324">
        <f t="shared" si="3"/>
        <v>0</v>
      </c>
      <c r="M18" s="325">
        <f t="shared" si="14"/>
        <v>0</v>
      </c>
      <c r="N18" s="326">
        <f t="shared" si="4"/>
        <v>0</v>
      </c>
      <c r="O18" s="288"/>
      <c r="P18" s="289">
        <f t="shared" si="5"/>
        <v>0</v>
      </c>
      <c r="Q18" s="289">
        <f t="shared" si="6"/>
        <v>0</v>
      </c>
      <c r="R18" s="289">
        <f t="shared" si="7"/>
        <v>0</v>
      </c>
      <c r="S18" s="289">
        <f t="shared" si="8"/>
        <v>0</v>
      </c>
      <c r="T18" s="289">
        <f t="shared" si="9"/>
        <v>0</v>
      </c>
      <c r="U18" s="289">
        <f t="shared" si="10"/>
        <v>0</v>
      </c>
      <c r="V18" s="289">
        <f t="shared" si="11"/>
        <v>0</v>
      </c>
    </row>
    <row r="19" spans="2:22" ht="15">
      <c r="B19" s="323">
        <f>'Исходные данные'!B28</f>
        <v>0</v>
      </c>
      <c r="C19" s="324">
        <f>IF('Исходные данные'!U28=1,'Исходные данные'!G28,0)</f>
        <v>0</v>
      </c>
      <c r="D19" s="324">
        <f>IF('Исходные данные'!U28=1,'Исходные данные'!H28,0)</f>
        <v>0</v>
      </c>
      <c r="E19" s="324">
        <f>IF('Исходные данные'!U28=1,'Исходные данные'!S28,0)</f>
        <v>0</v>
      </c>
      <c r="F19" s="324">
        <f t="shared" si="0"/>
        <v>0</v>
      </c>
      <c r="G19" s="324">
        <f>IF(C19=0,0,IF(C19&lt;=1000,'Исходные данные'!G28+76,IF(C19&gt;1000,('Исходные данные'!G28/2-40.5)+76,0)))</f>
        <v>0</v>
      </c>
      <c r="H19" s="324">
        <f t="shared" si="1"/>
        <v>0</v>
      </c>
      <c r="I19" s="324">
        <f t="shared" si="2"/>
        <v>0</v>
      </c>
      <c r="J19" s="324">
        <f t="shared" si="12"/>
        <v>0</v>
      </c>
      <c r="K19" s="324">
        <f t="shared" si="13"/>
        <v>0</v>
      </c>
      <c r="L19" s="324">
        <f t="shared" si="3"/>
        <v>0</v>
      </c>
      <c r="M19" s="325">
        <f t="shared" si="14"/>
        <v>0</v>
      </c>
      <c r="N19" s="326">
        <f t="shared" si="4"/>
        <v>0</v>
      </c>
      <c r="O19" s="288"/>
      <c r="P19" s="289">
        <f t="shared" si="5"/>
        <v>0</v>
      </c>
      <c r="Q19" s="289">
        <f t="shared" si="6"/>
        <v>0</v>
      </c>
      <c r="R19" s="289">
        <f t="shared" si="7"/>
        <v>0</v>
      </c>
      <c r="S19" s="289">
        <f t="shared" si="8"/>
        <v>0</v>
      </c>
      <c r="T19" s="289">
        <f t="shared" si="9"/>
        <v>0</v>
      </c>
      <c r="U19" s="289">
        <f t="shared" si="10"/>
        <v>0</v>
      </c>
      <c r="V19" s="289">
        <f t="shared" si="11"/>
        <v>0</v>
      </c>
    </row>
    <row r="20" spans="2:22" ht="15">
      <c r="B20" s="323">
        <f>'Исходные данные'!B29</f>
        <v>0</v>
      </c>
      <c r="C20" s="324">
        <f>IF('Исходные данные'!U29=1,'Исходные данные'!G29,0)</f>
        <v>0</v>
      </c>
      <c r="D20" s="324">
        <f>IF('Исходные данные'!U29=1,'Исходные данные'!H29,0)</f>
        <v>0</v>
      </c>
      <c r="E20" s="324">
        <f>IF('Исходные данные'!U29=1,'Исходные данные'!S29,0)</f>
        <v>0</v>
      </c>
      <c r="F20" s="324">
        <f t="shared" si="0"/>
        <v>0</v>
      </c>
      <c r="G20" s="324">
        <f>IF(C20=0,0,IF(C20&lt;=1000,'Исходные данные'!G29+76,IF(C20&gt;1000,('Исходные данные'!G29/2-40.5)+76,0)))</f>
        <v>0</v>
      </c>
      <c r="H20" s="324">
        <f t="shared" si="1"/>
        <v>0</v>
      </c>
      <c r="I20" s="324">
        <f t="shared" si="2"/>
        <v>0</v>
      </c>
      <c r="J20" s="324">
        <f t="shared" si="12"/>
        <v>0</v>
      </c>
      <c r="K20" s="324">
        <f t="shared" si="13"/>
        <v>0</v>
      </c>
      <c r="L20" s="324">
        <f t="shared" si="3"/>
        <v>0</v>
      </c>
      <c r="M20" s="325">
        <f t="shared" si="14"/>
        <v>0</v>
      </c>
      <c r="N20" s="326">
        <f t="shared" si="4"/>
        <v>0</v>
      </c>
      <c r="O20" s="288"/>
      <c r="P20" s="289">
        <f t="shared" si="5"/>
        <v>0</v>
      </c>
      <c r="Q20" s="289">
        <f t="shared" si="6"/>
        <v>0</v>
      </c>
      <c r="R20" s="289">
        <f t="shared" si="7"/>
        <v>0</v>
      </c>
      <c r="S20" s="289">
        <f t="shared" si="8"/>
        <v>0</v>
      </c>
      <c r="T20" s="289">
        <f t="shared" si="9"/>
        <v>0</v>
      </c>
      <c r="U20" s="289">
        <f t="shared" si="10"/>
        <v>0</v>
      </c>
      <c r="V20" s="289">
        <f t="shared" si="11"/>
        <v>0</v>
      </c>
    </row>
    <row r="21" spans="2:22" ht="15">
      <c r="B21" s="323">
        <f>'Исходные данные'!B30</f>
        <v>0</v>
      </c>
      <c r="C21" s="324">
        <f>IF('Исходные данные'!U30=1,'Исходные данные'!G30,0)</f>
        <v>0</v>
      </c>
      <c r="D21" s="324">
        <f>IF('Исходные данные'!U30=1,'Исходные данные'!H30,0)</f>
        <v>0</v>
      </c>
      <c r="E21" s="324">
        <f>IF('Исходные данные'!U30=1,'Исходные данные'!S30,0)</f>
        <v>0</v>
      </c>
      <c r="F21" s="324">
        <f t="shared" si="0"/>
        <v>0</v>
      </c>
      <c r="G21" s="324">
        <f>IF(C21=0,0,IF(C21&lt;=1000,'Исходные данные'!G30+76,IF(C21&gt;1000,('Исходные данные'!G30/2-40.5)+76,0)))</f>
        <v>0</v>
      </c>
      <c r="H21" s="324">
        <f t="shared" si="1"/>
        <v>0</v>
      </c>
      <c r="I21" s="324">
        <f t="shared" si="2"/>
        <v>0</v>
      </c>
      <c r="J21" s="324">
        <f t="shared" si="12"/>
        <v>0</v>
      </c>
      <c r="K21" s="324">
        <f t="shared" si="13"/>
        <v>0</v>
      </c>
      <c r="L21" s="324">
        <f t="shared" si="3"/>
        <v>0</v>
      </c>
      <c r="M21" s="325">
        <f t="shared" si="14"/>
        <v>0</v>
      </c>
      <c r="N21" s="326">
        <f t="shared" si="4"/>
        <v>0</v>
      </c>
      <c r="O21" s="288"/>
      <c r="P21" s="289">
        <f t="shared" si="5"/>
        <v>0</v>
      </c>
      <c r="Q21" s="289">
        <f t="shared" si="6"/>
        <v>0</v>
      </c>
      <c r="R21" s="289">
        <f t="shared" si="7"/>
        <v>0</v>
      </c>
      <c r="S21" s="289">
        <f t="shared" si="8"/>
        <v>0</v>
      </c>
      <c r="T21" s="289">
        <f t="shared" si="9"/>
        <v>0</v>
      </c>
      <c r="U21" s="289">
        <f t="shared" si="10"/>
        <v>0</v>
      </c>
      <c r="V21" s="289">
        <f t="shared" si="11"/>
        <v>0</v>
      </c>
    </row>
    <row r="22" spans="2:22" ht="15.75" thickBot="1">
      <c r="B22" s="327">
        <f>'Исходные данные'!B31</f>
        <v>0</v>
      </c>
      <c r="C22" s="328">
        <f>IF('Исходные данные'!U31=1,'Исходные данные'!G31,0)</f>
        <v>0</v>
      </c>
      <c r="D22" s="328">
        <f>IF('Исходные данные'!U31=1,'Исходные данные'!H31,0)</f>
        <v>0</v>
      </c>
      <c r="E22" s="328">
        <f>IF('Исходные данные'!U31=1,'Исходные данные'!S31,0)</f>
        <v>0</v>
      </c>
      <c r="F22" s="328">
        <f t="shared" si="0"/>
        <v>0</v>
      </c>
      <c r="G22" s="328">
        <f>IF(C22=0,0,IF(C22&lt;=1000,'Исходные данные'!G31+76,IF(C22&gt;1000,('Исходные данные'!G31/2-40.5)+76,0)))</f>
        <v>0</v>
      </c>
      <c r="H22" s="328">
        <f t="shared" si="1"/>
        <v>0</v>
      </c>
      <c r="I22" s="328">
        <f t="shared" si="2"/>
        <v>0</v>
      </c>
      <c r="J22" s="328">
        <f t="shared" si="12"/>
        <v>0</v>
      </c>
      <c r="K22" s="328">
        <f t="shared" si="13"/>
        <v>0</v>
      </c>
      <c r="L22" s="328">
        <f t="shared" si="3"/>
        <v>0</v>
      </c>
      <c r="M22" s="329">
        <f t="shared" si="14"/>
        <v>0</v>
      </c>
      <c r="N22" s="330">
        <f t="shared" si="4"/>
        <v>0</v>
      </c>
      <c r="O22" s="288"/>
      <c r="P22" s="289">
        <f t="shared" si="5"/>
        <v>0</v>
      </c>
      <c r="Q22" s="289">
        <f t="shared" si="6"/>
        <v>0</v>
      </c>
      <c r="R22" s="289">
        <f t="shared" si="7"/>
        <v>0</v>
      </c>
      <c r="S22" s="289">
        <f t="shared" si="8"/>
        <v>0</v>
      </c>
      <c r="T22" s="289">
        <f t="shared" si="9"/>
        <v>0</v>
      </c>
      <c r="U22" s="289">
        <f t="shared" si="10"/>
        <v>0</v>
      </c>
      <c r="V22" s="289">
        <f t="shared" si="11"/>
        <v>0</v>
      </c>
    </row>
    <row r="23" spans="2:22">
      <c r="V23" s="26">
        <f>SUM(V8:V22)</f>
        <v>0</v>
      </c>
    </row>
    <row r="26" spans="2:22">
      <c r="B26" s="26" t="s">
        <v>46</v>
      </c>
      <c r="C26" s="27" t="s">
        <v>41</v>
      </c>
      <c r="D26" s="27" t="s">
        <v>47</v>
      </c>
      <c r="G26" s="27">
        <f>V23</f>
        <v>0</v>
      </c>
      <c r="O26" s="283">
        <f>ROUNDDOWN(P8,2)</f>
        <v>0</v>
      </c>
    </row>
    <row r="27" spans="2:22">
      <c r="C27" s="26"/>
      <c r="D27" s="26"/>
      <c r="E27" s="26"/>
      <c r="F27" s="26"/>
      <c r="G27" s="26"/>
      <c r="H27" s="26"/>
      <c r="I27" s="26"/>
      <c r="J27" s="26"/>
      <c r="K27" s="388"/>
      <c r="L27" s="388"/>
      <c r="M27" s="388"/>
      <c r="N27" s="388"/>
      <c r="O27" s="284"/>
    </row>
    <row r="28" spans="2:22">
      <c r="K28" s="50"/>
      <c r="L28" s="50"/>
      <c r="M28" s="50"/>
      <c r="N28" s="50"/>
      <c r="O28" s="284"/>
    </row>
    <row r="29" spans="2:22" ht="15">
      <c r="B29" s="47"/>
      <c r="C29" s="47"/>
      <c r="D29" s="47"/>
      <c r="E29" s="47"/>
      <c r="F29" s="47"/>
      <c r="G29" s="47"/>
      <c r="H29" s="47"/>
      <c r="I29" s="47"/>
      <c r="J29" s="47"/>
      <c r="K29" s="49"/>
    </row>
    <row r="30" spans="2:22" ht="21">
      <c r="B30" s="48" t="s">
        <v>64</v>
      </c>
      <c r="C30" s="48"/>
      <c r="D30" s="48"/>
      <c r="E30" s="48"/>
      <c r="F30" s="48"/>
      <c r="G30" s="48"/>
      <c r="H30" s="21"/>
      <c r="I30" s="21"/>
      <c r="J30" s="21"/>
      <c r="K30" s="21"/>
    </row>
    <row r="31" spans="2:22" ht="15"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spans="2:22" ht="18.75">
      <c r="B32" s="42" t="s">
        <v>73</v>
      </c>
      <c r="C32" s="42"/>
      <c r="D32" s="42"/>
      <c r="E32" s="42">
        <f>'Исходные данные'!H13</f>
        <v>2222</v>
      </c>
      <c r="F32" s="42"/>
      <c r="G32" s="21"/>
      <c r="H32" s="389"/>
      <c r="I32" s="389"/>
      <c r="J32" s="389"/>
      <c r="K32" s="21"/>
    </row>
    <row r="33" spans="2:11" ht="15">
      <c r="B33" s="21" t="s">
        <v>74</v>
      </c>
      <c r="C33" s="21"/>
      <c r="D33" s="21"/>
      <c r="E33" s="21"/>
      <c r="F33" s="21"/>
      <c r="G33" s="21"/>
      <c r="H33" s="21"/>
      <c r="I33" s="21"/>
      <c r="J33" s="21"/>
      <c r="K33" s="21"/>
    </row>
    <row r="34" spans="2:11" ht="15">
      <c r="B34" s="21" t="s">
        <v>65</v>
      </c>
      <c r="C34" s="21"/>
      <c r="D34" s="21"/>
      <c r="E34" s="21"/>
      <c r="F34" s="21"/>
      <c r="G34" s="21"/>
      <c r="H34" s="21"/>
      <c r="I34" s="21"/>
      <c r="J34" s="21"/>
      <c r="K34" s="21"/>
    </row>
    <row r="35" spans="2:11" ht="15">
      <c r="B35" s="21"/>
      <c r="C35" s="21"/>
      <c r="D35" s="21"/>
      <c r="E35" s="21"/>
      <c r="F35" s="21"/>
      <c r="G35" s="21"/>
      <c r="H35" s="21"/>
      <c r="I35" s="21"/>
      <c r="J35" s="21"/>
      <c r="K35" s="21"/>
    </row>
    <row r="36" spans="2:11" ht="15">
      <c r="B36" s="21" t="s">
        <v>68</v>
      </c>
      <c r="C36" s="21" t="s">
        <v>45</v>
      </c>
      <c r="D36" s="21"/>
      <c r="E36" s="21"/>
      <c r="F36" s="21"/>
      <c r="G36" s="21" t="s">
        <v>132</v>
      </c>
      <c r="H36" s="21"/>
      <c r="I36" s="21"/>
      <c r="J36" s="21"/>
      <c r="K36" s="21"/>
    </row>
    <row r="37" spans="2:11" ht="15"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2:11" ht="15"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2:11" ht="15">
      <c r="B39" s="21" t="s">
        <v>67</v>
      </c>
      <c r="C39" s="21"/>
      <c r="D39" s="21"/>
      <c r="E39" s="21"/>
      <c r="F39" s="21"/>
      <c r="G39" s="21" t="s">
        <v>133</v>
      </c>
      <c r="H39" s="21"/>
      <c r="I39" s="21"/>
      <c r="J39" s="21"/>
      <c r="K39" s="21"/>
    </row>
    <row r="40" spans="2:11" ht="15">
      <c r="B40" s="21"/>
      <c r="C40" s="21"/>
      <c r="D40" s="21"/>
      <c r="E40" s="21"/>
      <c r="F40" s="21"/>
      <c r="G40" s="21"/>
      <c r="H40" s="21"/>
      <c r="I40" s="21"/>
      <c r="J40" s="21"/>
      <c r="K40" s="21"/>
    </row>
  </sheetData>
  <mergeCells count="5">
    <mergeCell ref="G3:L3"/>
    <mergeCell ref="G5:L5"/>
    <mergeCell ref="K27:L27"/>
    <mergeCell ref="M27:N27"/>
    <mergeCell ref="H32:J32"/>
  </mergeCells>
  <pageMargins left="0" right="0" top="0.74803149606299213" bottom="0.74803149606299213" header="0.31496062992125984" footer="0.31496062992125984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Исходные данные</vt:lpstr>
      <vt:lpstr>корпус</vt:lpstr>
      <vt:lpstr>МРП</vt:lpstr>
      <vt:lpstr>Сетка</vt:lpstr>
      <vt:lpstr>Ножницы</vt:lpstr>
      <vt:lpstr>Ножницы (3)</vt:lpstr>
      <vt:lpstr>Ножницы (4)</vt:lpstr>
      <vt:lpstr>Ножницы (2)</vt:lpstr>
      <vt:lpstr>р 25</vt:lpstr>
      <vt:lpstr>Трудоемк</vt:lpstr>
      <vt:lpstr>Задание на ТРУМПФ</vt:lpstr>
      <vt:lpstr>Задание на гибку</vt:lpstr>
      <vt:lpstr>Ось</vt:lpstr>
      <vt:lpstr>Комплектовочный лист</vt:lpstr>
      <vt:lpstr>нормы</vt:lpstr>
      <vt:lpstr>'Задание на гибку'!Область_печати</vt:lpstr>
      <vt:lpstr>'Задание на ТРУМПФ'!Область_печати</vt:lpstr>
      <vt:lpstr>'Исходные данные'!Область_печати</vt:lpstr>
      <vt:lpstr>'Комплектовочный лист'!Область_печати</vt:lpstr>
      <vt:lpstr>корпус!Область_печати</vt:lpstr>
      <vt:lpstr>Ножницы!Область_печати</vt:lpstr>
      <vt:lpstr>'Ножницы (2)'!Область_печати</vt:lpstr>
      <vt:lpstr>'Ножницы (3)'!Область_печати</vt:lpstr>
      <vt:lpstr>'Ножницы (4)'!Область_печати</vt:lpstr>
      <vt:lpstr>Ось!Область_печати</vt:lpstr>
      <vt:lpstr>'р 25'!Область_печати</vt:lpstr>
      <vt:lpstr>Сетка!Область_печати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fart</dc:creator>
  <cp:lastModifiedBy>kondratenkosa</cp:lastModifiedBy>
  <cp:lastPrinted>2014-03-25T05:09:09Z</cp:lastPrinted>
  <dcterms:created xsi:type="dcterms:W3CDTF">2012-04-12T05:55:58Z</dcterms:created>
  <dcterms:modified xsi:type="dcterms:W3CDTF">2014-05-21T03:53:15Z</dcterms:modified>
</cp:coreProperties>
</file>