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-15" windowWidth="19320" windowHeight="11295" tabRatio="782" activeTab="8"/>
  </bookViews>
  <sheets>
    <sheet name="Исходные данные" sheetId="1" r:id="rId1"/>
    <sheet name="корпус" sheetId="2" state="hidden" r:id="rId2"/>
    <sheet name="МРП" sheetId="10" state="hidden" r:id="rId3"/>
    <sheet name="Сетка" sheetId="8" state="hidden" r:id="rId4"/>
    <sheet name="Ножницы" sheetId="3" state="hidden" r:id="rId5"/>
    <sheet name="Ножницы (3)" sheetId="5" state="hidden" r:id="rId6"/>
    <sheet name="Ножницы (4)" sheetId="7" state="hidden" r:id="rId7"/>
    <sheet name="Ножницы (2)" sheetId="4" state="hidden" r:id="rId8"/>
    <sheet name="р 25" sheetId="9" r:id="rId9"/>
    <sheet name="Трудоемк" sheetId="11" state="hidden" r:id="rId10"/>
    <sheet name="Задание на ТРУМПФ" sheetId="13" r:id="rId11"/>
    <sheet name="Задание на гибку" sheetId="12" r:id="rId12"/>
    <sheet name="Ось" sheetId="16" state="hidden" r:id="rId13"/>
    <sheet name="Задание на ножницы" sheetId="17" r:id="rId14"/>
    <sheet name="Комплектовочный лист" sheetId="15" r:id="rId15"/>
    <sheet name="нормы" sheetId="14" state="hidden" r:id="rId16"/>
  </sheets>
  <externalReferences>
    <externalReference r:id="rId17"/>
  </externalReferences>
  <definedNames>
    <definedName name="_xlnm.Print_Area" localSheetId="11">'Задание на гибку'!$A$1:$AK$47</definedName>
    <definedName name="_xlnm.Print_Area" localSheetId="13">'Задание на ножницы'!$A$1:$R$48</definedName>
    <definedName name="_xlnm.Print_Area" localSheetId="10">'Задание на ТРУМПФ'!$A$1:$AN$51</definedName>
    <definedName name="_xlnm.Print_Area" localSheetId="0">'Исходные данные'!$A$2:$U$60</definedName>
    <definedName name="_xlnm.Print_Area" localSheetId="14">'Комплектовочный лист'!$A$1:$AK$42</definedName>
    <definedName name="_xlnm.Print_Area" localSheetId="1">корпус!$A$11:$I$47</definedName>
    <definedName name="_xlnm.Print_Area" localSheetId="4">Ножницы!$A$4:$H$46</definedName>
    <definedName name="_xlnm.Print_Area" localSheetId="7">'Ножницы (2)'!$A$4:$I$45</definedName>
    <definedName name="_xlnm.Print_Area" localSheetId="5">'Ножницы (3)'!$A$3:$H$44</definedName>
    <definedName name="_xlnm.Print_Area" localSheetId="6">'Ножницы (4)'!$A$1:$H$44</definedName>
    <definedName name="_xlnm.Print_Area" localSheetId="12">Ось!$A$1:$A$47</definedName>
    <definedName name="_xlnm.Print_Area" localSheetId="8">'р 25'!$A$2:$N$43</definedName>
    <definedName name="_xlnm.Print_Area" localSheetId="3">Сетка!$A$9:$K$46</definedName>
  </definedNames>
  <calcPr calcId="124519"/>
</workbook>
</file>

<file path=xl/calcChain.xml><?xml version="1.0" encoding="utf-8"?>
<calcChain xmlns="http://schemas.openxmlformats.org/spreadsheetml/2006/main">
  <c r="AQ20" i="1"/>
  <c r="AQ21"/>
  <c r="AQ22"/>
  <c r="AQ23"/>
  <c r="AQ24"/>
  <c r="AQ25"/>
  <c r="AQ26"/>
  <c r="AQ27"/>
  <c r="AQ28"/>
  <c r="AQ29"/>
  <c r="AQ30"/>
  <c r="AO17"/>
  <c r="AO18"/>
  <c r="AO19"/>
  <c r="AO20"/>
  <c r="AO21"/>
  <c r="AO22"/>
  <c r="AO23"/>
  <c r="AO24"/>
  <c r="AO25"/>
  <c r="AO26"/>
  <c r="AO27"/>
  <c r="AO28"/>
  <c r="AO29"/>
  <c r="AO30"/>
  <c r="AO16"/>
  <c r="Q11" i="12"/>
  <c r="Q12"/>
  <c r="Q13"/>
  <c r="Q14"/>
  <c r="Q15"/>
  <c r="Q16"/>
  <c r="Q17"/>
  <c r="Q18"/>
  <c r="Q19"/>
  <c r="Q20"/>
  <c r="Q21"/>
  <c r="AP8" i="13"/>
  <c r="AP9"/>
  <c r="AP10"/>
  <c r="AP11"/>
  <c r="AP12"/>
  <c r="AP13"/>
  <c r="AP14"/>
  <c r="AP15"/>
  <c r="AP16"/>
  <c r="AP17"/>
  <c r="AP18"/>
  <c r="AP19"/>
  <c r="AP20"/>
  <c r="AP21"/>
  <c r="AP7"/>
  <c r="AP22"/>
  <c r="AP23"/>
  <c r="AP24"/>
  <c r="AP25"/>
  <c r="AP26"/>
  <c r="AP27"/>
  <c r="Q22" i="12"/>
  <c r="Q23"/>
  <c r="Q24"/>
  <c r="Q25"/>
  <c r="Q26"/>
  <c r="Q27"/>
  <c r="P11"/>
  <c r="P12"/>
  <c r="P13"/>
  <c r="P14"/>
  <c r="P15"/>
  <c r="P16"/>
  <c r="P17"/>
  <c r="P18"/>
  <c r="P19"/>
  <c r="P20"/>
  <c r="P21"/>
  <c r="BF22" i="17"/>
  <c r="BF23"/>
  <c r="BF24"/>
  <c r="BF25"/>
  <c r="BF26"/>
  <c r="BF27"/>
  <c r="BJ8"/>
  <c r="BJ11"/>
  <c r="BJ12"/>
  <c r="BJ13"/>
  <c r="BJ14"/>
  <c r="BJ15"/>
  <c r="BJ16"/>
  <c r="BJ17"/>
  <c r="BJ18"/>
  <c r="BJ19"/>
  <c r="BJ20"/>
  <c r="BJ21"/>
  <c r="O22" l="1"/>
  <c r="O23"/>
  <c r="O24"/>
  <c r="O25"/>
  <c r="O26"/>
  <c r="O27"/>
  <c r="AZ11"/>
  <c r="AZ12"/>
  <c r="AZ13"/>
  <c r="AZ14"/>
  <c r="AZ15"/>
  <c r="AZ16"/>
  <c r="AZ17"/>
  <c r="AZ18"/>
  <c r="AZ19"/>
  <c r="AZ20"/>
  <c r="AZ21"/>
  <c r="BB20" l="1"/>
  <c r="K20" s="1"/>
  <c r="BD20"/>
  <c r="BB18"/>
  <c r="K18" s="1"/>
  <c r="BD18"/>
  <c r="BB16"/>
  <c r="K16" s="1"/>
  <c r="BD16"/>
  <c r="BB14"/>
  <c r="K14" s="1"/>
  <c r="BD14"/>
  <c r="BB12"/>
  <c r="K12" s="1"/>
  <c r="BD12"/>
  <c r="BB21"/>
  <c r="K21" s="1"/>
  <c r="BD21"/>
  <c r="BB19"/>
  <c r="K19" s="1"/>
  <c r="BD19"/>
  <c r="BB17"/>
  <c r="K17" s="1"/>
  <c r="BD17"/>
  <c r="N17" s="1"/>
  <c r="BB15"/>
  <c r="K15" s="1"/>
  <c r="BD15"/>
  <c r="BB13"/>
  <c r="K13" s="1"/>
  <c r="BD13"/>
  <c r="BB11"/>
  <c r="K11" s="1"/>
  <c r="BD11"/>
  <c r="BC21"/>
  <c r="BC17"/>
  <c r="BC11"/>
  <c r="N19"/>
  <c r="N11"/>
  <c r="BC19"/>
  <c r="BC15"/>
  <c r="BC13"/>
  <c r="N21"/>
  <c r="N15"/>
  <c r="N13"/>
  <c r="BC20"/>
  <c r="BC18"/>
  <c r="BC16"/>
  <c r="BC14"/>
  <c r="BC12"/>
  <c r="N20"/>
  <c r="N18"/>
  <c r="N16"/>
  <c r="N14"/>
  <c r="N12"/>
  <c r="BA21"/>
  <c r="J21" s="1"/>
  <c r="O21" s="1"/>
  <c r="BA20"/>
  <c r="J20" s="1"/>
  <c r="O20" s="1"/>
  <c r="BA19"/>
  <c r="J19" s="1"/>
  <c r="O19" s="1"/>
  <c r="BA18"/>
  <c r="J18" s="1"/>
  <c r="O18" s="1"/>
  <c r="BA17"/>
  <c r="J17" s="1"/>
  <c r="O17" s="1"/>
  <c r="BA16"/>
  <c r="J16" s="1"/>
  <c r="O16" s="1"/>
  <c r="BA15"/>
  <c r="J15" s="1"/>
  <c r="O15" s="1"/>
  <c r="BA14"/>
  <c r="J14" s="1"/>
  <c r="O14" s="1"/>
  <c r="BA13"/>
  <c r="J13" s="1"/>
  <c r="O13" s="1"/>
  <c r="BA12"/>
  <c r="J12" s="1"/>
  <c r="O12" s="1"/>
  <c r="BA11"/>
  <c r="J11" s="1"/>
  <c r="O11" s="1"/>
  <c r="AN35" i="12"/>
  <c r="AN36"/>
  <c r="AN37"/>
  <c r="AN38"/>
  <c r="AN39"/>
  <c r="AN40"/>
  <c r="AN41"/>
  <c r="AN42"/>
  <c r="AN43"/>
  <c r="AN44"/>
  <c r="AN45"/>
  <c r="AN46"/>
  <c r="I11" i="13"/>
  <c r="M11" s="1"/>
  <c r="O11" i="12" s="1"/>
  <c r="L11" i="13"/>
  <c r="I12"/>
  <c r="M12" s="1"/>
  <c r="O12" i="12" s="1"/>
  <c r="L12" i="13"/>
  <c r="I13"/>
  <c r="M13" s="1"/>
  <c r="O13" i="12" s="1"/>
  <c r="L13" i="13"/>
  <c r="I14"/>
  <c r="M14" s="1"/>
  <c r="O14" i="12" s="1"/>
  <c r="L14" i="13"/>
  <c r="I15"/>
  <c r="M15" s="1"/>
  <c r="O15" i="12" s="1"/>
  <c r="L15" i="13"/>
  <c r="I16"/>
  <c r="M16" s="1"/>
  <c r="O16" i="12" s="1"/>
  <c r="L16" i="13"/>
  <c r="I17"/>
  <c r="M17" s="1"/>
  <c r="O17" i="12" s="1"/>
  <c r="L17" i="13"/>
  <c r="I18"/>
  <c r="M18" s="1"/>
  <c r="O18" i="12" s="1"/>
  <c r="L18" i="13"/>
  <c r="I19"/>
  <c r="M19" s="1"/>
  <c r="O19" i="12" s="1"/>
  <c r="L19" i="13"/>
  <c r="I20"/>
  <c r="M20" s="1"/>
  <c r="O20" i="12" s="1"/>
  <c r="L20" i="13"/>
  <c r="I21"/>
  <c r="M21" s="1"/>
  <c r="O21" i="12" s="1"/>
  <c r="L21" i="13"/>
  <c r="AW7" i="12"/>
  <c r="BA16" i="1"/>
  <c r="K20" i="12" l="1"/>
  <c r="K18"/>
  <c r="K16"/>
  <c r="K14"/>
  <c r="K12"/>
  <c r="K21"/>
  <c r="K19"/>
  <c r="K17"/>
  <c r="K15"/>
  <c r="K13"/>
  <c r="K11"/>
  <c r="BL11" i="17"/>
  <c r="BF11"/>
  <c r="BL13"/>
  <c r="BF13"/>
  <c r="BL15"/>
  <c r="BF15"/>
  <c r="BL17"/>
  <c r="BF17"/>
  <c r="BL19"/>
  <c r="BF19"/>
  <c r="BL21"/>
  <c r="BF21"/>
  <c r="BL12"/>
  <c r="BF12"/>
  <c r="BL14"/>
  <c r="BF14"/>
  <c r="BL16"/>
  <c r="BF16"/>
  <c r="BL18"/>
  <c r="BF18"/>
  <c r="BL20"/>
  <c r="BF20"/>
  <c r="BH7" i="13"/>
  <c r="AN7"/>
  <c r="BH8" l="1"/>
  <c r="BH9"/>
  <c r="BH10"/>
  <c r="BH11"/>
  <c r="BH12"/>
  <c r="BH13"/>
  <c r="BH14"/>
  <c r="BH15"/>
  <c r="BH16"/>
  <c r="BH17"/>
  <c r="BH18"/>
  <c r="BH19"/>
  <c r="BJ19" s="1"/>
  <c r="BH20"/>
  <c r="BJ20" s="1"/>
  <c r="BH21"/>
  <c r="BJ21" s="1"/>
  <c r="AM19"/>
  <c r="AM20"/>
  <c r="AM21"/>
  <c r="AG8"/>
  <c r="AI8"/>
  <c r="AG9"/>
  <c r="AH9"/>
  <c r="AI9"/>
  <c r="AJ9"/>
  <c r="AG10"/>
  <c r="AH10"/>
  <c r="AI10"/>
  <c r="AJ10"/>
  <c r="AG11"/>
  <c r="AH11"/>
  <c r="AI11"/>
  <c r="AJ11"/>
  <c r="AG12"/>
  <c r="AH12"/>
  <c r="AI12"/>
  <c r="AJ12"/>
  <c r="AG13"/>
  <c r="AH13"/>
  <c r="AI13"/>
  <c r="AJ13"/>
  <c r="AG14"/>
  <c r="AH14"/>
  <c r="AI14"/>
  <c r="AJ14"/>
  <c r="AG15"/>
  <c r="AH15"/>
  <c r="AI15"/>
  <c r="AJ15"/>
  <c r="AG16"/>
  <c r="AH16"/>
  <c r="AI16"/>
  <c r="AJ16"/>
  <c r="AG17"/>
  <c r="AH17"/>
  <c r="AI17"/>
  <c r="AJ17"/>
  <c r="AG18"/>
  <c r="AH18"/>
  <c r="AI18"/>
  <c r="AJ18"/>
  <c r="AG19"/>
  <c r="AH19"/>
  <c r="AI19"/>
  <c r="AJ19"/>
  <c r="AG20"/>
  <c r="AH20"/>
  <c r="AI20"/>
  <c r="AJ20"/>
  <c r="AG21"/>
  <c r="AH21"/>
  <c r="AI21"/>
  <c r="AJ21"/>
  <c r="AZ28" i="1"/>
  <c r="AD19" i="13" s="1"/>
  <c r="AZ29" i="1"/>
  <c r="AB20" i="13" s="1"/>
  <c r="AZ30" i="1"/>
  <c r="AD21" i="13" s="1"/>
  <c r="Z14"/>
  <c r="Z15"/>
  <c r="Z16"/>
  <c r="Z17"/>
  <c r="Z18"/>
  <c r="Z19"/>
  <c r="Z20"/>
  <c r="Z21"/>
  <c r="Y8"/>
  <c r="Y9"/>
  <c r="Y10"/>
  <c r="Y11"/>
  <c r="Y12"/>
  <c r="Y13"/>
  <c r="Y14"/>
  <c r="Y15"/>
  <c r="Y16"/>
  <c r="Y17"/>
  <c r="Y18"/>
  <c r="Y19"/>
  <c r="Y20"/>
  <c r="Y21"/>
  <c r="Z9"/>
  <c r="Z10"/>
  <c r="Z11"/>
  <c r="Z12"/>
  <c r="Z13"/>
  <c r="U8"/>
  <c r="AB8" i="15" s="1"/>
  <c r="V8" i="13"/>
  <c r="W8" s="1"/>
  <c r="X8"/>
  <c r="U9"/>
  <c r="V9"/>
  <c r="W9" s="1"/>
  <c r="X9"/>
  <c r="U10"/>
  <c r="AB10" i="15" s="1"/>
  <c r="V10" i="13"/>
  <c r="W10" s="1"/>
  <c r="X10"/>
  <c r="U11"/>
  <c r="AB11" i="15" s="1"/>
  <c r="V11" i="13"/>
  <c r="W11" s="1"/>
  <c r="X11"/>
  <c r="U12"/>
  <c r="V12"/>
  <c r="W12" s="1"/>
  <c r="X12"/>
  <c r="U13"/>
  <c r="AB13" i="15" s="1"/>
  <c r="V13" i="13"/>
  <c r="W13" s="1"/>
  <c r="X13"/>
  <c r="U14"/>
  <c r="AB14" i="15" s="1"/>
  <c r="V14" i="13"/>
  <c r="W14" s="1"/>
  <c r="X14"/>
  <c r="U15"/>
  <c r="AB15" i="15" s="1"/>
  <c r="V15" i="13"/>
  <c r="W15" s="1"/>
  <c r="X15"/>
  <c r="U16"/>
  <c r="V16"/>
  <c r="W16" s="1"/>
  <c r="X16"/>
  <c r="U17"/>
  <c r="AB17" i="15" s="1"/>
  <c r="V17" i="13"/>
  <c r="W17" s="1"/>
  <c r="X17"/>
  <c r="U18"/>
  <c r="AB18" i="15" s="1"/>
  <c r="V18" i="13"/>
  <c r="W18" s="1"/>
  <c r="X18"/>
  <c r="U19"/>
  <c r="AB19" i="15" s="1"/>
  <c r="V19" i="13"/>
  <c r="W19" s="1"/>
  <c r="X19"/>
  <c r="U20"/>
  <c r="V20"/>
  <c r="W20" s="1"/>
  <c r="X20"/>
  <c r="U21"/>
  <c r="U21" i="12" s="1"/>
  <c r="V21" i="13"/>
  <c r="W21" s="1"/>
  <c r="X21"/>
  <c r="U22"/>
  <c r="V22"/>
  <c r="W22" s="1"/>
  <c r="X22"/>
  <c r="U23"/>
  <c r="V23"/>
  <c r="W23" s="1"/>
  <c r="X23"/>
  <c r="U24"/>
  <c r="V24"/>
  <c r="W24" s="1"/>
  <c r="X24"/>
  <c r="U25"/>
  <c r="V25"/>
  <c r="W25" s="1"/>
  <c r="X25"/>
  <c r="U26"/>
  <c r="V26"/>
  <c r="W26" s="1"/>
  <c r="X26"/>
  <c r="U27"/>
  <c r="V27"/>
  <c r="W27" s="1"/>
  <c r="X27"/>
  <c r="Z7"/>
  <c r="BA17" i="1"/>
  <c r="Z8" i="13" s="1"/>
  <c r="BA18" i="1"/>
  <c r="BA19"/>
  <c r="BA20"/>
  <c r="BA21"/>
  <c r="BA22"/>
  <c r="BA23"/>
  <c r="BA24"/>
  <c r="BA25"/>
  <c r="BA26"/>
  <c r="BA27"/>
  <c r="BA28"/>
  <c r="BA29"/>
  <c r="BA30"/>
  <c r="X7" i="13"/>
  <c r="AG16" i="1"/>
  <c r="BJ7" i="17" s="1"/>
  <c r="AB9" i="15"/>
  <c r="AB12"/>
  <c r="AB16"/>
  <c r="AB20"/>
  <c r="BI8" i="13"/>
  <c r="BI9"/>
  <c r="BI10"/>
  <c r="BI11"/>
  <c r="BI12"/>
  <c r="BI13"/>
  <c r="BI14"/>
  <c r="BI15"/>
  <c r="BI16"/>
  <c r="BI17"/>
  <c r="BI18"/>
  <c r="BI19"/>
  <c r="BI20"/>
  <c r="BI21"/>
  <c r="BI7"/>
  <c r="V7"/>
  <c r="B9" i="9"/>
  <c r="B10"/>
  <c r="B11"/>
  <c r="B12"/>
  <c r="B13"/>
  <c r="B14"/>
  <c r="B15"/>
  <c r="B16"/>
  <c r="B17"/>
  <c r="B18"/>
  <c r="B19"/>
  <c r="B20"/>
  <c r="B21"/>
  <c r="B22"/>
  <c r="E9"/>
  <c r="E10"/>
  <c r="E11"/>
  <c r="E12"/>
  <c r="E13"/>
  <c r="E14"/>
  <c r="E15"/>
  <c r="E16"/>
  <c r="E17"/>
  <c r="E18"/>
  <c r="E19"/>
  <c r="E20"/>
  <c r="E21"/>
  <c r="C22"/>
  <c r="K22" s="1"/>
  <c r="D22"/>
  <c r="H22" s="1"/>
  <c r="E22"/>
  <c r="E8"/>
  <c r="R20" i="12"/>
  <c r="Q20" i="15"/>
  <c r="Q21"/>
  <c r="W45" i="13"/>
  <c r="AB21" l="1"/>
  <c r="AD20"/>
  <c r="AB19"/>
  <c r="U7"/>
  <c r="AB7" i="15" s="1"/>
  <c r="G22" i="9"/>
  <c r="U20" i="12"/>
  <c r="AB21" i="15"/>
  <c r="F22" i="9"/>
  <c r="J22"/>
  <c r="I22" s="1"/>
  <c r="U18" i="12"/>
  <c r="U16"/>
  <c r="U19"/>
  <c r="U17"/>
  <c r="U15"/>
  <c r="U14"/>
  <c r="U12"/>
  <c r="U10"/>
  <c r="U13"/>
  <c r="U11"/>
  <c r="U9"/>
  <c r="U8"/>
  <c r="N8" i="15"/>
  <c r="N9"/>
  <c r="N10"/>
  <c r="N11"/>
  <c r="N12"/>
  <c r="N13"/>
  <c r="N14"/>
  <c r="N15"/>
  <c r="N16"/>
  <c r="N17"/>
  <c r="N18"/>
  <c r="N19"/>
  <c r="P19" s="1"/>
  <c r="N20"/>
  <c r="N21"/>
  <c r="N7"/>
  <c r="M20"/>
  <c r="M21"/>
  <c r="AG17" i="1"/>
  <c r="AG18"/>
  <c r="AG19"/>
  <c r="AG20"/>
  <c r="Q11" i="15" s="1"/>
  <c r="AG21" i="1"/>
  <c r="Q12" i="15" s="1"/>
  <c r="AG22" i="1"/>
  <c r="Q13" i="15" s="1"/>
  <c r="AG23" i="1"/>
  <c r="Q14" i="15" s="1"/>
  <c r="AG24" i="1"/>
  <c r="Q15" i="15" s="1"/>
  <c r="AG25" i="1"/>
  <c r="Q16" i="15" s="1"/>
  <c r="AG26" i="1"/>
  <c r="Q17" i="15" s="1"/>
  <c r="AG27" i="1"/>
  <c r="Q18" i="15" s="1"/>
  <c r="AG28" i="1"/>
  <c r="Q19" i="15" s="1"/>
  <c r="AG29" i="1"/>
  <c r="AG30"/>
  <c r="R15" i="12"/>
  <c r="R16"/>
  <c r="R17"/>
  <c r="R18"/>
  <c r="R19"/>
  <c r="AZ22"/>
  <c r="AZ23"/>
  <c r="AZ24"/>
  <c r="AZ25"/>
  <c r="AZ26"/>
  <c r="AZ27"/>
  <c r="AN8" i="13"/>
  <c r="AJ8" i="15" s="1"/>
  <c r="AN9" i="13"/>
  <c r="AJ9" i="15" s="1"/>
  <c r="AN10" i="13"/>
  <c r="AJ10" i="15" s="1"/>
  <c r="AN11" i="13"/>
  <c r="AJ11" i="15" s="1"/>
  <c r="AN12" i="13"/>
  <c r="AJ12" i="15" s="1"/>
  <c r="AN13" i="13"/>
  <c r="AJ13" i="15" s="1"/>
  <c r="AN14" i="13"/>
  <c r="AJ14" i="15" s="1"/>
  <c r="AN15" i="13"/>
  <c r="AJ15" i="15" s="1"/>
  <c r="AN16" i="13"/>
  <c r="AJ16" i="15" s="1"/>
  <c r="AN17" i="13"/>
  <c r="AJ17" i="15" s="1"/>
  <c r="AN18" i="13"/>
  <c r="AJ18" i="15" s="1"/>
  <c r="AI19"/>
  <c r="AN19" i="13"/>
  <c r="AJ19" i="15" s="1"/>
  <c r="AI20"/>
  <c r="AN20" i="13"/>
  <c r="AJ20" i="15" s="1"/>
  <c r="AI21"/>
  <c r="AN21" i="13"/>
  <c r="AJ21" i="15" s="1"/>
  <c r="AJ7"/>
  <c r="P18"/>
  <c r="P20"/>
  <c r="P2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7"/>
  <c r="L7" s="1"/>
  <c r="H8"/>
  <c r="H9"/>
  <c r="H10"/>
  <c r="H11"/>
  <c r="H12"/>
  <c r="H13"/>
  <c r="H14"/>
  <c r="H15"/>
  <c r="H16"/>
  <c r="H17"/>
  <c r="H18"/>
  <c r="H19"/>
  <c r="H20"/>
  <c r="H21"/>
  <c r="H7"/>
  <c r="G8" i="13"/>
  <c r="G9"/>
  <c r="G10"/>
  <c r="G11"/>
  <c r="G12"/>
  <c r="G13"/>
  <c r="G14"/>
  <c r="G15"/>
  <c r="G16"/>
  <c r="G17"/>
  <c r="G18"/>
  <c r="G19"/>
  <c r="G20"/>
  <c r="G21"/>
  <c r="G7"/>
  <c r="Q10" i="15" l="1"/>
  <c r="BJ10" i="17"/>
  <c r="U7" i="12"/>
  <c r="Q9" i="15"/>
  <c r="BJ9" i="17"/>
  <c r="R13" i="12"/>
  <c r="R12"/>
  <c r="M22" i="9"/>
  <c r="L22"/>
  <c r="N22"/>
  <c r="M18" i="15"/>
  <c r="M16"/>
  <c r="M19"/>
  <c r="M17"/>
  <c r="M15"/>
  <c r="M14"/>
  <c r="M13"/>
  <c r="M11"/>
  <c r="M9"/>
  <c r="M12"/>
  <c r="M10"/>
  <c r="BF7" i="13"/>
  <c r="AX20" i="12"/>
  <c r="AX21"/>
  <c r="AW8"/>
  <c r="AX8" s="1"/>
  <c r="AW9"/>
  <c r="AX9" s="1"/>
  <c r="AW10"/>
  <c r="AX10" s="1"/>
  <c r="AW11"/>
  <c r="AX11" s="1"/>
  <c r="AW12"/>
  <c r="AX12" s="1"/>
  <c r="AW13"/>
  <c r="AX13" s="1"/>
  <c r="AW14"/>
  <c r="AX14" s="1"/>
  <c r="AW15"/>
  <c r="AX15" s="1"/>
  <c r="AW16"/>
  <c r="AX16" s="1"/>
  <c r="AW17"/>
  <c r="AX17" s="1"/>
  <c r="AW18"/>
  <c r="AX18" s="1"/>
  <c r="AW19"/>
  <c r="AX19" s="1"/>
  <c r="AW20"/>
  <c r="AW21"/>
  <c r="AX7"/>
  <c r="AE8"/>
  <c r="AE9"/>
  <c r="AE10"/>
  <c r="AE11"/>
  <c r="AE12"/>
  <c r="AE13"/>
  <c r="AE14"/>
  <c r="AE15"/>
  <c r="AE16"/>
  <c r="AE17"/>
  <c r="AE18"/>
  <c r="AE19"/>
  <c r="AE20"/>
  <c r="AE21"/>
  <c r="AE7"/>
  <c r="BB8" i="13"/>
  <c r="AH8" s="1"/>
  <c r="BB9"/>
  <c r="BB10"/>
  <c r="BB11"/>
  <c r="BB12"/>
  <c r="BB13"/>
  <c r="BB14"/>
  <c r="BB15"/>
  <c r="BB16"/>
  <c r="BB17"/>
  <c r="BB18"/>
  <c r="BB19"/>
  <c r="BB20"/>
  <c r="BB21"/>
  <c r="BB7"/>
  <c r="AH7" s="1"/>
  <c r="BG7"/>
  <c r="AJ7" s="1"/>
  <c r="BF8"/>
  <c r="BG8" s="1"/>
  <c r="AJ8" s="1"/>
  <c r="BF9"/>
  <c r="BG9" s="1"/>
  <c r="BF10"/>
  <c r="BG10" s="1"/>
  <c r="BF11"/>
  <c r="BG11" s="1"/>
  <c r="BF12"/>
  <c r="BG12" s="1"/>
  <c r="BF13"/>
  <c r="BG13" s="1"/>
  <c r="BF14"/>
  <c r="BG14" s="1"/>
  <c r="BF15"/>
  <c r="BG15" s="1"/>
  <c r="BF16"/>
  <c r="BG16" s="1"/>
  <c r="BF17"/>
  <c r="BG17" s="1"/>
  <c r="BF18"/>
  <c r="BG18" s="1"/>
  <c r="BF19"/>
  <c r="BG19" s="1"/>
  <c r="BF20"/>
  <c r="BG20" s="1"/>
  <c r="BF21"/>
  <c r="BG21" s="1"/>
  <c r="R14" i="12" l="1"/>
  <c r="R11"/>
  <c r="AU7" i="13"/>
  <c r="AR32" i="12" s="1"/>
  <c r="AU8" i="13"/>
  <c r="AR33" i="12" s="1"/>
  <c r="AU9" i="13"/>
  <c r="AR34" i="12" s="1"/>
  <c r="AU10" i="13"/>
  <c r="AR35" i="12" s="1"/>
  <c r="AU11" i="13"/>
  <c r="AR36" i="12" s="1"/>
  <c r="AU12" i="13"/>
  <c r="AR37" i="12" s="1"/>
  <c r="AU13" i="13"/>
  <c r="AR38" i="12" s="1"/>
  <c r="AU14" i="13"/>
  <c r="AR39" i="12" s="1"/>
  <c r="AU15" i="13"/>
  <c r="AR40" i="12" s="1"/>
  <c r="AU16" i="13"/>
  <c r="AR41" i="12" s="1"/>
  <c r="AU17" i="13"/>
  <c r="AR42" i="12" s="1"/>
  <c r="AU18" i="13"/>
  <c r="AR43" i="12" s="1"/>
  <c r="AU19" i="13"/>
  <c r="AR44" i="12" s="1"/>
  <c r="AU20" i="13"/>
  <c r="AR45" i="12" s="1"/>
  <c r="AU21" i="13"/>
  <c r="AR46" i="12" s="1"/>
  <c r="AR47" l="1"/>
  <c r="AR48" s="1"/>
  <c r="AA8" i="13"/>
  <c r="AA9"/>
  <c r="AA10"/>
  <c r="AA11"/>
  <c r="AA12"/>
  <c r="AA13"/>
  <c r="AA14"/>
  <c r="AA15"/>
  <c r="AA16"/>
  <c r="AA17"/>
  <c r="AA18"/>
  <c r="AA19"/>
  <c r="AA20"/>
  <c r="AA21"/>
  <c r="AA7"/>
  <c r="Y8" i="12"/>
  <c r="Y9"/>
  <c r="Y10"/>
  <c r="Y11"/>
  <c r="Y12"/>
  <c r="Y13"/>
  <c r="Y14"/>
  <c r="Y15"/>
  <c r="Y16"/>
  <c r="Y17"/>
  <c r="Y18"/>
  <c r="Y19"/>
  <c r="Y20"/>
  <c r="Y21"/>
  <c r="Y7" i="13"/>
  <c r="Y7" i="12" s="1"/>
  <c r="X9"/>
  <c r="AE9" i="15" s="1"/>
  <c r="X11" i="12"/>
  <c r="AE11" i="15" s="1"/>
  <c r="X12" i="12"/>
  <c r="AE12" i="15" s="1"/>
  <c r="X13" i="12"/>
  <c r="AE13" i="15" s="1"/>
  <c r="X14" i="12"/>
  <c r="AE14" i="15" s="1"/>
  <c r="X15" i="12"/>
  <c r="AE15" i="15" s="1"/>
  <c r="X16" i="12"/>
  <c r="AE16" i="15" s="1"/>
  <c r="X17" i="12"/>
  <c r="AE17" i="15" s="1"/>
  <c r="X18" i="12"/>
  <c r="AE18" i="15" s="1"/>
  <c r="X19" i="12"/>
  <c r="AE19" i="15" s="1"/>
  <c r="X20" i="12"/>
  <c r="AE20" i="15" s="1"/>
  <c r="X21" i="12"/>
  <c r="AE21" i="15" s="1"/>
  <c r="BC8" i="13"/>
  <c r="X8" i="12" s="1"/>
  <c r="AE8" i="15" s="1"/>
  <c r="BC9" i="13"/>
  <c r="BC10"/>
  <c r="X10" i="12" s="1"/>
  <c r="AE10" i="15" s="1"/>
  <c r="BC11" i="13"/>
  <c r="BC12"/>
  <c r="BC13"/>
  <c r="BC14"/>
  <c r="BC15"/>
  <c r="BC16"/>
  <c r="BC17"/>
  <c r="BC18"/>
  <c r="BC19"/>
  <c r="BC20"/>
  <c r="BC21"/>
  <c r="AY21" i="12" l="1"/>
  <c r="AF21" i="15"/>
  <c r="AY19" i="12"/>
  <c r="AF19" i="15"/>
  <c r="AY17" i="12"/>
  <c r="AF17" i="15"/>
  <c r="AY15" i="12"/>
  <c r="AF15" i="15"/>
  <c r="AY13" i="12"/>
  <c r="AF13" i="15"/>
  <c r="AY11" i="12"/>
  <c r="AF11" i="15"/>
  <c r="AY9" i="12"/>
  <c r="AF9" i="15"/>
  <c r="AY7" i="12"/>
  <c r="AF7" i="15"/>
  <c r="AY20" i="12"/>
  <c r="AF20" i="15"/>
  <c r="AY18" i="12"/>
  <c r="AF18" i="15"/>
  <c r="AY16" i="12"/>
  <c r="AF16" i="15"/>
  <c r="AY14" i="12"/>
  <c r="AF14" i="15"/>
  <c r="AY12" i="12"/>
  <c r="AF12" i="15"/>
  <c r="AY10" i="12"/>
  <c r="AF10" i="15"/>
  <c r="AY8" i="12"/>
  <c r="AF8" i="15"/>
  <c r="W7" i="13" l="1"/>
  <c r="V7" i="12"/>
  <c r="V20"/>
  <c r="V18"/>
  <c r="V16"/>
  <c r="V14"/>
  <c r="V12"/>
  <c r="V10"/>
  <c r="V8"/>
  <c r="V21"/>
  <c r="V19"/>
  <c r="V17"/>
  <c r="V15"/>
  <c r="V13"/>
  <c r="V11"/>
  <c r="V9"/>
  <c r="BO22" i="17"/>
  <c r="BO23"/>
  <c r="BO24"/>
  <c r="BO25"/>
  <c r="BO26"/>
  <c r="BO27"/>
  <c r="W21" i="12" l="1"/>
  <c r="BC21" s="1"/>
  <c r="AC21" i="15"/>
  <c r="AD21" s="1"/>
  <c r="W20" i="12"/>
  <c r="BC20" s="1"/>
  <c r="AC20" i="15"/>
  <c r="AD20" s="1"/>
  <c r="W17" i="12"/>
  <c r="BC17" s="1"/>
  <c r="AC17" i="15"/>
  <c r="AD17" s="1"/>
  <c r="W19" i="12"/>
  <c r="BC19" s="1"/>
  <c r="AC19" i="15"/>
  <c r="AD19" s="1"/>
  <c r="W16" i="12"/>
  <c r="BC16" s="1"/>
  <c r="AC16" i="15"/>
  <c r="AD16" s="1"/>
  <c r="W18" i="12"/>
  <c r="BC18" s="1"/>
  <c r="AC18" i="15"/>
  <c r="AD18" s="1"/>
  <c r="W15" i="12"/>
  <c r="BC15" s="1"/>
  <c r="AC15" i="15"/>
  <c r="AD15" s="1"/>
  <c r="W14" i="12"/>
  <c r="BC14" s="1"/>
  <c r="AC14" i="15"/>
  <c r="AD14" s="1"/>
  <c r="W9" i="12"/>
  <c r="BC9" s="1"/>
  <c r="AC9" i="15"/>
  <c r="AD9" s="1"/>
  <c r="W11" i="12"/>
  <c r="BC11" s="1"/>
  <c r="AC11" i="15"/>
  <c r="AD11" s="1"/>
  <c r="W10" i="12"/>
  <c r="BC10" s="1"/>
  <c r="AC10" i="15"/>
  <c r="AD10" s="1"/>
  <c r="W12" i="12"/>
  <c r="BC12" s="1"/>
  <c r="AC12" i="15"/>
  <c r="AD12" s="1"/>
  <c r="W13" i="12"/>
  <c r="BC13" s="1"/>
  <c r="AC13" i="15"/>
  <c r="AD13" s="1"/>
  <c r="W7" i="12"/>
  <c r="BC7" s="1"/>
  <c r="AC7" i="15"/>
  <c r="AD7" s="1"/>
  <c r="W8" i="12"/>
  <c r="BC8" s="1"/>
  <c r="AC8" i="15"/>
  <c r="AD8" s="1"/>
  <c r="AH22"/>
  <c r="AH23"/>
  <c r="AH24"/>
  <c r="AH25"/>
  <c r="AH26"/>
  <c r="AH27"/>
  <c r="AG22"/>
  <c r="AG23"/>
  <c r="AG24"/>
  <c r="AG25"/>
  <c r="AG26"/>
  <c r="AG27"/>
  <c r="Q23" i="13"/>
  <c r="Q24"/>
  <c r="Q25"/>
  <c r="Q26"/>
  <c r="Q27"/>
  <c r="AD23"/>
  <c r="AD24"/>
  <c r="AD25"/>
  <c r="AD26"/>
  <c r="AD27"/>
  <c r="BC28" i="12" l="1"/>
  <c r="W28" s="1"/>
  <c r="AU17" i="1"/>
  <c r="AU18"/>
  <c r="AU19"/>
  <c r="AU20"/>
  <c r="AU21"/>
  <c r="AU22"/>
  <c r="AU23"/>
  <c r="AU24"/>
  <c r="AU25"/>
  <c r="AU26"/>
  <c r="AU27"/>
  <c r="AU28"/>
  <c r="AU29"/>
  <c r="AU30"/>
  <c r="AU16"/>
  <c r="AT17"/>
  <c r="AT18"/>
  <c r="AT19"/>
  <c r="AT20"/>
  <c r="AT21"/>
  <c r="AT22"/>
  <c r="AT23"/>
  <c r="AT24"/>
  <c r="AT25"/>
  <c r="AT26"/>
  <c r="AT27"/>
  <c r="AT28"/>
  <c r="AT29"/>
  <c r="AT30"/>
  <c r="AT16"/>
  <c r="AP17"/>
  <c r="AM8" i="13" s="1"/>
  <c r="AI8" i="15" s="1"/>
  <c r="AP18" i="1"/>
  <c r="AM9" i="13" s="1"/>
  <c r="AI9" i="15" s="1"/>
  <c r="AP19" i="1"/>
  <c r="AM10" i="13" s="1"/>
  <c r="AI10" i="15" s="1"/>
  <c r="AP20" i="1"/>
  <c r="AM11" i="13" s="1"/>
  <c r="AI11" i="15" s="1"/>
  <c r="AP21" i="1"/>
  <c r="AM12" i="13" s="1"/>
  <c r="AI12" i="15" s="1"/>
  <c r="AP22" i="1"/>
  <c r="AM13" i="13" s="1"/>
  <c r="AI13" i="15" s="1"/>
  <c r="AP23" i="1"/>
  <c r="AM14" i="13" s="1"/>
  <c r="AI14" i="15" s="1"/>
  <c r="AP24" i="1"/>
  <c r="AM15" i="13" s="1"/>
  <c r="AI15" i="15" s="1"/>
  <c r="AP25" i="1"/>
  <c r="AM16" i="13" s="1"/>
  <c r="AI16" i="15" s="1"/>
  <c r="AP26" i="1"/>
  <c r="AM17" i="13" s="1"/>
  <c r="AI17" i="15" s="1"/>
  <c r="AP27" i="1"/>
  <c r="AM18" i="13" s="1"/>
  <c r="AI18" i="15" s="1"/>
  <c r="AP28" i="1"/>
  <c r="AP29"/>
  <c r="AP30"/>
  <c r="AP16"/>
  <c r="AN17"/>
  <c r="AN18"/>
  <c r="AN19"/>
  <c r="AN20"/>
  <c r="AN21"/>
  <c r="AN22"/>
  <c r="AN23"/>
  <c r="AN24"/>
  <c r="AN25"/>
  <c r="AN26"/>
  <c r="AN27"/>
  <c r="AN28"/>
  <c r="AN29"/>
  <c r="AN30"/>
  <c r="AN16"/>
  <c r="AM17"/>
  <c r="AQ17" s="1"/>
  <c r="AM18"/>
  <c r="AQ18" s="1"/>
  <c r="AM19"/>
  <c r="AM20"/>
  <c r="AM21"/>
  <c r="AM22"/>
  <c r="AM23"/>
  <c r="AM24"/>
  <c r="AM25"/>
  <c r="AM26"/>
  <c r="AM27"/>
  <c r="AM28"/>
  <c r="AM29"/>
  <c r="AM30"/>
  <c r="AD22" i="13"/>
  <c r="AM16" i="1"/>
  <c r="AQ16" s="1"/>
  <c r="AM7" i="13" l="1"/>
  <c r="AI7" i="15" s="1"/>
  <c r="AQ19" i="1"/>
  <c r="AS30"/>
  <c r="AX30"/>
  <c r="AY30" s="1"/>
  <c r="BD30" s="1"/>
  <c r="AC21" i="13" s="1"/>
  <c r="AX29" i="1"/>
  <c r="AY29" s="1"/>
  <c r="BD29" s="1"/>
  <c r="AC20" i="13" s="1"/>
  <c r="AV20" i="1"/>
  <c r="AV23"/>
  <c r="AB20" i="12"/>
  <c r="Z20"/>
  <c r="AV29" i="1"/>
  <c r="AV27"/>
  <c r="AB21" i="12"/>
  <c r="Z21"/>
  <c r="AB19"/>
  <c r="Z19"/>
  <c r="AS29" i="1"/>
  <c r="AS27"/>
  <c r="AV30"/>
  <c r="AV28"/>
  <c r="AS25"/>
  <c r="AS24"/>
  <c r="AV24"/>
  <c r="AS23"/>
  <c r="AF21" i="13" l="1"/>
  <c r="AD21" i="12" s="1"/>
  <c r="AE21" i="13"/>
  <c r="AC21" i="12" s="1"/>
  <c r="AA21"/>
  <c r="AF20" i="13"/>
  <c r="AD20" i="12" s="1"/>
  <c r="AA20"/>
  <c r="AE20" i="13"/>
  <c r="AC20" i="12" s="1"/>
  <c r="AS20" i="1"/>
  <c r="AX19"/>
  <c r="AY19" s="1"/>
  <c r="BD19" s="1"/>
  <c r="AX25"/>
  <c r="AY25" s="1"/>
  <c r="BD25" s="1"/>
  <c r="AV22"/>
  <c r="AS22"/>
  <c r="AS21"/>
  <c r="AV26"/>
  <c r="AS26"/>
  <c r="AV25"/>
  <c r="AX18"/>
  <c r="AY18" s="1"/>
  <c r="BD18" s="1"/>
  <c r="AX16"/>
  <c r="AY16" s="1"/>
  <c r="BD16" s="1"/>
  <c r="AV21"/>
  <c r="AX21"/>
  <c r="AY21" s="1"/>
  <c r="BD21" s="1"/>
  <c r="AX22"/>
  <c r="AY22" s="1"/>
  <c r="BD22" s="1"/>
  <c r="AX26"/>
  <c r="AY26" s="1"/>
  <c r="BD26" s="1"/>
  <c r="AX23"/>
  <c r="AY23" s="1"/>
  <c r="BD23" s="1"/>
  <c r="AX20"/>
  <c r="AY20" s="1"/>
  <c r="BD20" s="1"/>
  <c r="AX24"/>
  <c r="AY24" s="1"/>
  <c r="BD24" s="1"/>
  <c r="AS28"/>
  <c r="AX28"/>
  <c r="AY28" s="1"/>
  <c r="BD28" s="1"/>
  <c r="AC19" i="13" s="1"/>
  <c r="AF19" s="1"/>
  <c r="AD19" i="12" s="1"/>
  <c r="AX27" i="1"/>
  <c r="AY27" s="1"/>
  <c r="BD27" s="1"/>
  <c r="AX17"/>
  <c r="AY17" s="1"/>
  <c r="BD17" s="1"/>
  <c r="AG20" i="15"/>
  <c r="AS19" i="1"/>
  <c r="AV18"/>
  <c r="AG19" i="15"/>
  <c r="AG21"/>
  <c r="AV19" i="1"/>
  <c r="AS18"/>
  <c r="AV17"/>
  <c r="AS17"/>
  <c r="AV16"/>
  <c r="AS16"/>
  <c r="AE22" i="15"/>
  <c r="AF22"/>
  <c r="AE23"/>
  <c r="AF23"/>
  <c r="AE24"/>
  <c r="AF24"/>
  <c r="AE25"/>
  <c r="AF25"/>
  <c r="AE26"/>
  <c r="AF26"/>
  <c r="AE27"/>
  <c r="AF27"/>
  <c r="BC22" i="13"/>
  <c r="BC23"/>
  <c r="BC24"/>
  <c r="BC25"/>
  <c r="BC26"/>
  <c r="BC27"/>
  <c r="BC7"/>
  <c r="AH20" i="15" l="1"/>
  <c r="AZ20" i="12"/>
  <c r="BA20" s="1"/>
  <c r="AZ21"/>
  <c r="BA21" s="1"/>
  <c r="AH21" i="15"/>
  <c r="AZ27" i="1"/>
  <c r="AC18" i="13"/>
  <c r="AF18" s="1"/>
  <c r="AD18" i="12" s="1"/>
  <c r="AC11" i="13"/>
  <c r="AZ20" i="1"/>
  <c r="AC17" i="13"/>
  <c r="AZ26" i="1"/>
  <c r="AC13" i="13"/>
  <c r="AZ22" i="1"/>
  <c r="AZ21"/>
  <c r="AC12" i="13"/>
  <c r="AZ25" i="1"/>
  <c r="AC16" i="13"/>
  <c r="AZ19" i="1"/>
  <c r="AC10" i="13"/>
  <c r="AF10" s="1"/>
  <c r="AD10" i="12" s="1"/>
  <c r="AC15" i="13"/>
  <c r="AZ24" i="1"/>
  <c r="AZ23"/>
  <c r="AC14" i="13"/>
  <c r="AC9"/>
  <c r="AF9" s="1"/>
  <c r="AD9" i="12" s="1"/>
  <c r="AZ18" i="1"/>
  <c r="AC8" i="13"/>
  <c r="AE8" s="1"/>
  <c r="AZ17" i="1"/>
  <c r="AZ16"/>
  <c r="AC7" i="13"/>
  <c r="AA7" i="12" s="1"/>
  <c r="AE19" i="13"/>
  <c r="AC19" i="12" s="1"/>
  <c r="AA19"/>
  <c r="X7"/>
  <c r="AE7" i="15" s="1"/>
  <c r="AA9" i="12"/>
  <c r="V22" i="15"/>
  <c r="V23"/>
  <c r="V24"/>
  <c r="V25"/>
  <c r="V26"/>
  <c r="V27"/>
  <c r="AE18" i="13" l="1"/>
  <c r="AF8"/>
  <c r="AD8" i="12" s="1"/>
  <c r="AA10"/>
  <c r="AD14" i="13"/>
  <c r="AB14" i="12" s="1"/>
  <c r="AB14" i="13"/>
  <c r="Z14" i="12" s="1"/>
  <c r="AF15" i="13"/>
  <c r="AD15" i="12" s="1"/>
  <c r="AE15" i="13"/>
  <c r="AC15" i="12" s="1"/>
  <c r="AA15"/>
  <c r="AD10" i="13"/>
  <c r="AB10" i="12" s="1"/>
  <c r="AB10" i="13"/>
  <c r="Z10" i="12" s="1"/>
  <c r="AD16" i="13"/>
  <c r="AB16" i="12" s="1"/>
  <c r="AB16" i="13"/>
  <c r="Z16" i="12" s="1"/>
  <c r="AD12" i="13"/>
  <c r="AB12" i="12" s="1"/>
  <c r="AB12" i="13"/>
  <c r="Z12" i="12" s="1"/>
  <c r="AF13" i="13"/>
  <c r="AD13" i="12" s="1"/>
  <c r="AE13" i="13"/>
  <c r="AC13" i="12" s="1"/>
  <c r="AA13"/>
  <c r="AA17"/>
  <c r="AF17" i="13"/>
  <c r="AD17" i="12" s="1"/>
  <c r="AE17" i="13"/>
  <c r="AC17" i="12" s="1"/>
  <c r="AA11"/>
  <c r="AE11" i="13"/>
  <c r="AC11" i="12" s="1"/>
  <c r="AF11" i="13"/>
  <c r="AD11" i="12" s="1"/>
  <c r="AD18" i="13"/>
  <c r="AB18" i="12" s="1"/>
  <c r="AB18" i="13"/>
  <c r="Z18" i="12" s="1"/>
  <c r="AD9" i="13"/>
  <c r="AB9" i="12" s="1"/>
  <c r="AB9" i="13"/>
  <c r="Z9" i="12" s="1"/>
  <c r="AF14" i="13"/>
  <c r="AD14" i="12" s="1"/>
  <c r="AA14"/>
  <c r="AE14" i="13"/>
  <c r="AC14" i="12" s="1"/>
  <c r="AD15" i="13"/>
  <c r="AB15" i="12" s="1"/>
  <c r="AB15" i="13"/>
  <c r="Z15" i="12" s="1"/>
  <c r="AF16" i="13"/>
  <c r="AD16" i="12" s="1"/>
  <c r="AA16"/>
  <c r="AE16" i="13"/>
  <c r="AC16" i="12" s="1"/>
  <c r="AE12" i="13"/>
  <c r="AC12" i="12" s="1"/>
  <c r="AA12"/>
  <c r="AF12" i="13"/>
  <c r="AD12" i="12" s="1"/>
  <c r="AD13" i="13"/>
  <c r="AB13" i="12" s="1"/>
  <c r="AB13" i="13"/>
  <c r="Z13" i="12" s="1"/>
  <c r="AD17" i="13"/>
  <c r="AB17" i="12" s="1"/>
  <c r="AB17" i="13"/>
  <c r="Z17" i="12" s="1"/>
  <c r="AD11" i="13"/>
  <c r="AB11" i="12" s="1"/>
  <c r="AB11" i="13"/>
  <c r="Z11" i="12" s="1"/>
  <c r="AD8" i="13"/>
  <c r="AB8" i="12" s="1"/>
  <c r="AB8" i="13"/>
  <c r="Z8" i="12" s="1"/>
  <c r="AD7" i="13"/>
  <c r="AB7" i="12" s="1"/>
  <c r="AB7" i="13"/>
  <c r="Z7" i="12" s="1"/>
  <c r="AF7" i="13"/>
  <c r="AD7" i="12" s="1"/>
  <c r="AE7" i="13"/>
  <c r="AC7" i="12" s="1"/>
  <c r="AH7" i="15" s="1"/>
  <c r="AZ19" i="12"/>
  <c r="BA19" s="1"/>
  <c r="AH19" i="15"/>
  <c r="AZ18" i="12"/>
  <c r="BA18" s="1"/>
  <c r="AH18" i="15"/>
  <c r="AE9" i="13"/>
  <c r="AC9" i="12" s="1"/>
  <c r="AH9" i="15" s="1"/>
  <c r="AE10" i="13"/>
  <c r="AC10" i="12" s="1"/>
  <c r="AA8"/>
  <c r="AI16" i="1"/>
  <c r="AI17"/>
  <c r="AI18"/>
  <c r="AI19"/>
  <c r="AI20"/>
  <c r="AI21"/>
  <c r="AI22"/>
  <c r="AI23"/>
  <c r="AI24"/>
  <c r="AI25"/>
  <c r="AI26"/>
  <c r="AI27"/>
  <c r="AI28"/>
  <c r="AI29"/>
  <c r="AI30"/>
  <c r="Q22" i="17"/>
  <c r="Q23"/>
  <c r="Q24"/>
  <c r="Q25"/>
  <c r="Q26"/>
  <c r="Q27"/>
  <c r="AH10" i="15" l="1"/>
  <c r="AG18"/>
  <c r="AG14"/>
  <c r="AG9"/>
  <c r="AZ16" i="12"/>
  <c r="BA16" s="1"/>
  <c r="AH16" i="15"/>
  <c r="AZ17" i="12"/>
  <c r="BA17" s="1"/>
  <c r="AH17" i="15"/>
  <c r="AZ15" i="12"/>
  <c r="BA15" s="1"/>
  <c r="AH15" i="15"/>
  <c r="AG11"/>
  <c r="AG17"/>
  <c r="AG13"/>
  <c r="AG15"/>
  <c r="AG12"/>
  <c r="AG16"/>
  <c r="AG10"/>
  <c r="AH12"/>
  <c r="AZ12" i="12"/>
  <c r="BA12" s="1"/>
  <c r="AH14" i="15"/>
  <c r="AZ14" i="12"/>
  <c r="BA14" s="1"/>
  <c r="AZ11"/>
  <c r="BA11" s="1"/>
  <c r="AH11" i="15"/>
  <c r="AZ13" i="12"/>
  <c r="BA13" s="1"/>
  <c r="AH13" i="15"/>
  <c r="AG8"/>
  <c r="AG7"/>
  <c r="AZ7" i="12"/>
  <c r="BA7" s="1"/>
  <c r="AZ10"/>
  <c r="BA10" s="1"/>
  <c r="AZ9"/>
  <c r="BA9" s="1"/>
  <c r="AC8"/>
  <c r="AH8" i="15" s="1"/>
  <c r="AY28" i="12"/>
  <c r="Y28" s="1"/>
  <c r="P3" i="15"/>
  <c r="L22"/>
  <c r="L23"/>
  <c r="L24"/>
  <c r="L25"/>
  <c r="L26"/>
  <c r="L27"/>
  <c r="AK5"/>
  <c r="F7"/>
  <c r="G7"/>
  <c r="R7"/>
  <c r="T7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F8"/>
  <c r="G8"/>
  <c r="R8"/>
  <c r="T8"/>
  <c r="F9"/>
  <c r="G9"/>
  <c r="R9"/>
  <c r="T9"/>
  <c r="F10"/>
  <c r="G10"/>
  <c r="R10"/>
  <c r="T10"/>
  <c r="F11"/>
  <c r="G11"/>
  <c r="R11"/>
  <c r="T11"/>
  <c r="F12"/>
  <c r="G12"/>
  <c r="R12"/>
  <c r="T12"/>
  <c r="F13"/>
  <c r="G13"/>
  <c r="R13"/>
  <c r="T13"/>
  <c r="F14"/>
  <c r="G14"/>
  <c r="R14"/>
  <c r="T14"/>
  <c r="F15"/>
  <c r="G15"/>
  <c r="R15"/>
  <c r="T15"/>
  <c r="F16"/>
  <c r="G16"/>
  <c r="R16"/>
  <c r="T16"/>
  <c r="F17"/>
  <c r="G17"/>
  <c r="R17"/>
  <c r="T17"/>
  <c r="F18"/>
  <c r="G18"/>
  <c r="R18"/>
  <c r="T18"/>
  <c r="F19"/>
  <c r="G19"/>
  <c r="R19"/>
  <c r="T19"/>
  <c r="F20"/>
  <c r="G20"/>
  <c r="R20"/>
  <c r="T20"/>
  <c r="F21"/>
  <c r="G21"/>
  <c r="R21"/>
  <c r="T21"/>
  <c r="Q22"/>
  <c r="Q23"/>
  <c r="Q24"/>
  <c r="Q25"/>
  <c r="Q26"/>
  <c r="Q27"/>
  <c r="AZ8" i="12" l="1"/>
  <c r="BA8" l="1"/>
  <c r="BA28" s="1"/>
  <c r="AC28" s="1"/>
  <c r="AI15"/>
  <c r="AI17"/>
  <c r="AI18"/>
  <c r="AI19"/>
  <c r="AI21"/>
  <c r="AI10"/>
  <c r="AI11"/>
  <c r="AI12"/>
  <c r="AI13"/>
  <c r="AI14"/>
  <c r="AI16"/>
  <c r="AI20"/>
  <c r="AH8"/>
  <c r="W8" i="15" s="1"/>
  <c r="Y8" s="1"/>
  <c r="AH9" i="12"/>
  <c r="W9" i="15" s="1"/>
  <c r="Y9" s="1"/>
  <c r="AH10" i="12"/>
  <c r="W10" i="15" s="1"/>
  <c r="Y10" s="1"/>
  <c r="AH11" i="12"/>
  <c r="W11" i="15" s="1"/>
  <c r="Y11" s="1"/>
  <c r="AH12" i="12"/>
  <c r="W12" i="15" s="1"/>
  <c r="Y12" s="1"/>
  <c r="AH13" i="12"/>
  <c r="W13" i="15" s="1"/>
  <c r="Y13" s="1"/>
  <c r="AH14" i="12"/>
  <c r="W14" i="15" s="1"/>
  <c r="Y14" s="1"/>
  <c r="AH15" i="12"/>
  <c r="W15" i="15" s="1"/>
  <c r="Y15" s="1"/>
  <c r="AH16" i="12"/>
  <c r="W16" i="15" s="1"/>
  <c r="Y16" s="1"/>
  <c r="AH17" i="12"/>
  <c r="W17" i="15" s="1"/>
  <c r="Y17" s="1"/>
  <c r="AH18" i="12"/>
  <c r="W18" i="15" s="1"/>
  <c r="Y18" s="1"/>
  <c r="AH19" i="12"/>
  <c r="W19" i="15" s="1"/>
  <c r="Y19" s="1"/>
  <c r="AH20" i="12"/>
  <c r="W20" i="15" s="1"/>
  <c r="Y20" s="1"/>
  <c r="AH21" i="12"/>
  <c r="W21" i="15" s="1"/>
  <c r="Y21" s="1"/>
  <c r="AH7" i="12"/>
  <c r="W7" i="15" s="1"/>
  <c r="Y7" s="1"/>
  <c r="AG10" i="12"/>
  <c r="AT10" s="1"/>
  <c r="AG11"/>
  <c r="AT11" s="1"/>
  <c r="AG12"/>
  <c r="AT12" s="1"/>
  <c r="AG13"/>
  <c r="AT13" s="1"/>
  <c r="AG14"/>
  <c r="AT14" s="1"/>
  <c r="AG15"/>
  <c r="AT15" s="1"/>
  <c r="AG16"/>
  <c r="AT16" s="1"/>
  <c r="AG17"/>
  <c r="AT17" s="1"/>
  <c r="AG18"/>
  <c r="AT18" s="1"/>
  <c r="AG19"/>
  <c r="AT19" s="1"/>
  <c r="AG20"/>
  <c r="AT20" s="1"/>
  <c r="AG21"/>
  <c r="AT21" s="1"/>
  <c r="AH22" i="13"/>
  <c r="AH23"/>
  <c r="AH24"/>
  <c r="AH25"/>
  <c r="AH26"/>
  <c r="AH27"/>
  <c r="S8" i="15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7"/>
  <c r="V7" s="1"/>
  <c r="R10" i="13"/>
  <c r="R12"/>
  <c r="R13"/>
  <c r="R14"/>
  <c r="R15"/>
  <c r="R16"/>
  <c r="R17"/>
  <c r="R18"/>
  <c r="R19"/>
  <c r="R20"/>
  <c r="R21"/>
  <c r="R22"/>
  <c r="R23"/>
  <c r="R24"/>
  <c r="R25"/>
  <c r="R26"/>
  <c r="R27"/>
  <c r="AG22"/>
  <c r="AG23"/>
  <c r="AG24"/>
  <c r="AG25"/>
  <c r="AG26"/>
  <c r="AG27"/>
  <c r="AG7"/>
  <c r="BM22" i="17"/>
  <c r="BM23"/>
  <c r="BM24"/>
  <c r="BM25"/>
  <c r="BM26"/>
  <c r="BM27"/>
  <c r="BM11"/>
  <c r="BM12"/>
  <c r="BM13"/>
  <c r="BM14"/>
  <c r="BM15"/>
  <c r="BM16"/>
  <c r="BM17"/>
  <c r="BM18"/>
  <c r="BM19"/>
  <c r="BM20"/>
  <c r="BM21"/>
  <c r="X20" i="15" l="1"/>
  <c r="AU20" i="12"/>
  <c r="X18" i="15"/>
  <c r="AU18" i="12"/>
  <c r="X16" i="15"/>
  <c r="AU16" i="12"/>
  <c r="X14" i="15"/>
  <c r="AU14" i="12"/>
  <c r="X12" i="15"/>
  <c r="AU12" i="12"/>
  <c r="X10" i="15"/>
  <c r="AU10" i="12"/>
  <c r="X21" i="15"/>
  <c r="AU21" i="12"/>
  <c r="X19" i="15"/>
  <c r="AU19" i="12"/>
  <c r="X17" i="15"/>
  <c r="AU17" i="12"/>
  <c r="X15" i="15"/>
  <c r="AU15" i="12"/>
  <c r="X13" i="15"/>
  <c r="AU13" i="12"/>
  <c r="X11" i="15"/>
  <c r="AU11" i="12"/>
  <c r="U21" i="15"/>
  <c r="U19"/>
  <c r="U17"/>
  <c r="U15"/>
  <c r="U13"/>
  <c r="U11"/>
  <c r="U20"/>
  <c r="U18"/>
  <c r="U16"/>
  <c r="U14"/>
  <c r="U12"/>
  <c r="U10"/>
  <c r="P8"/>
  <c r="P10"/>
  <c r="P12"/>
  <c r="P13"/>
  <c r="P14"/>
  <c r="P15"/>
  <c r="P16"/>
  <c r="P17"/>
  <c r="K22" i="17"/>
  <c r="K23"/>
  <c r="K24"/>
  <c r="K25"/>
  <c r="K26"/>
  <c r="K27"/>
  <c r="P7" i="15"/>
  <c r="G22" i="17"/>
  <c r="G23"/>
  <c r="G24"/>
  <c r="G25"/>
  <c r="G26"/>
  <c r="G27"/>
  <c r="O22" i="12"/>
  <c r="O23"/>
  <c r="O24"/>
  <c r="O25"/>
  <c r="O26"/>
  <c r="O27"/>
  <c r="L23" i="13"/>
  <c r="L23" i="12" s="1"/>
  <c r="L24" i="13"/>
  <c r="L24" i="12" s="1"/>
  <c r="L25" i="13"/>
  <c r="L25" i="12" s="1"/>
  <c r="L26" i="13"/>
  <c r="L26" i="12" s="1"/>
  <c r="L27" i="13"/>
  <c r="L27" i="12" s="1"/>
  <c r="AJ17" i="1"/>
  <c r="L8" i="13" s="1"/>
  <c r="AJ19" i="1"/>
  <c r="L10" i="13" s="1"/>
  <c r="AJ20" i="1"/>
  <c r="AJ21"/>
  <c r="AJ22"/>
  <c r="AJ23"/>
  <c r="AJ24"/>
  <c r="AJ25"/>
  <c r="AJ26"/>
  <c r="AJ27"/>
  <c r="AJ28"/>
  <c r="AJ29"/>
  <c r="AJ30"/>
  <c r="AJ18"/>
  <c r="L9" i="13" s="1"/>
  <c r="AJ16" i="1"/>
  <c r="I22" i="13"/>
  <c r="K22" i="12" s="1"/>
  <c r="I23" i="13"/>
  <c r="K23" i="12" s="1"/>
  <c r="I24" i="13"/>
  <c r="K24" i="12" s="1"/>
  <c r="I25" i="13"/>
  <c r="K25" i="12" s="1"/>
  <c r="I26" i="13"/>
  <c r="K26" i="12" s="1"/>
  <c r="I27" i="13"/>
  <c r="K27" i="12" s="1"/>
  <c r="BP21" i="17" l="1"/>
  <c r="BQ21" s="1"/>
  <c r="BO21"/>
  <c r="BP20"/>
  <c r="BQ20" s="1"/>
  <c r="BO20"/>
  <c r="BP19"/>
  <c r="BQ19" s="1"/>
  <c r="BO19"/>
  <c r="BP18"/>
  <c r="BQ18" s="1"/>
  <c r="BO18"/>
  <c r="BO17"/>
  <c r="BP17" s="1"/>
  <c r="BQ17" s="1"/>
  <c r="BO16"/>
  <c r="BP16" s="1"/>
  <c r="BQ16" s="1"/>
  <c r="BO15"/>
  <c r="BP15" s="1"/>
  <c r="BQ15" s="1"/>
  <c r="BO14"/>
  <c r="BP14" s="1"/>
  <c r="BQ14" s="1"/>
  <c r="BO13"/>
  <c r="BP13" s="1"/>
  <c r="BQ13" s="1"/>
  <c r="BO12"/>
  <c r="BP12" s="1"/>
  <c r="BQ12" s="1"/>
  <c r="BO11"/>
  <c r="BP11" s="1"/>
  <c r="BQ11" s="1"/>
  <c r="O21" i="15"/>
  <c r="O19"/>
  <c r="O17"/>
  <c r="O15"/>
  <c r="O13"/>
  <c r="O11"/>
  <c r="O20"/>
  <c r="O18"/>
  <c r="O16"/>
  <c r="O14"/>
  <c r="O12"/>
  <c r="O10"/>
  <c r="L7" i="13"/>
  <c r="R7" i="17" s="1"/>
  <c r="AK16" i="1"/>
  <c r="Q7" i="12" s="1"/>
  <c r="R9" i="17"/>
  <c r="AK18" i="1"/>
  <c r="Q9" i="12" s="1"/>
  <c r="AK30" i="1"/>
  <c r="Q21" i="13" s="1"/>
  <c r="AK28" i="1"/>
  <c r="Q19" i="13" s="1"/>
  <c r="AK26" i="1"/>
  <c r="Q17" i="13" s="1"/>
  <c r="AK24" i="1"/>
  <c r="Q15" i="13" s="1"/>
  <c r="AK22" i="1"/>
  <c r="Q13" i="13" s="1"/>
  <c r="AK20" i="1"/>
  <c r="Q11" i="13" s="1"/>
  <c r="R8" i="17"/>
  <c r="AK17" i="1"/>
  <c r="L22" i="13"/>
  <c r="L22" i="12" s="1"/>
  <c r="Q22" i="13"/>
  <c r="AK29" i="1"/>
  <c r="Q20" i="13" s="1"/>
  <c r="AK27" i="1"/>
  <c r="Q18" i="13" s="1"/>
  <c r="AK25" i="1"/>
  <c r="Q16" i="13" s="1"/>
  <c r="AK23" i="1"/>
  <c r="Q14" i="13" s="1"/>
  <c r="AK21" i="1"/>
  <c r="Q12" i="13" s="1"/>
  <c r="AK19" i="1"/>
  <c r="O9" i="15"/>
  <c r="O7"/>
  <c r="O8"/>
  <c r="AI7" i="13"/>
  <c r="Q10" l="1"/>
  <c r="Q10" i="12"/>
  <c r="AZ10" i="17"/>
  <c r="Q8" i="12"/>
  <c r="AZ7" i="17"/>
  <c r="BB7" s="1"/>
  <c r="K7" s="1"/>
  <c r="Q8" i="13"/>
  <c r="AZ8" i="17"/>
  <c r="Q9" i="13"/>
  <c r="AZ9" i="17"/>
  <c r="Q7" i="13"/>
  <c r="L7" i="12"/>
  <c r="L8"/>
  <c r="L9"/>
  <c r="AO10"/>
  <c r="AN10"/>
  <c r="AO12"/>
  <c r="AN12"/>
  <c r="AO14"/>
  <c r="AN14"/>
  <c r="AO16"/>
  <c r="AN16"/>
  <c r="AO18"/>
  <c r="AN18"/>
  <c r="AO20"/>
  <c r="AN20"/>
  <c r="AO11"/>
  <c r="AN11"/>
  <c r="AO13"/>
  <c r="AN13"/>
  <c r="AO15"/>
  <c r="AN15"/>
  <c r="AO17"/>
  <c r="AN17"/>
  <c r="AO19"/>
  <c r="AN19"/>
  <c r="AO21"/>
  <c r="AN21"/>
  <c r="AO9"/>
  <c r="AN9"/>
  <c r="AO7"/>
  <c r="AN8"/>
  <c r="AO8"/>
  <c r="Q12" i="17"/>
  <c r="Q14"/>
  <c r="Q16"/>
  <c r="Q18"/>
  <c r="Q20"/>
  <c r="L11" i="12"/>
  <c r="R11" i="17"/>
  <c r="L13" i="12"/>
  <c r="R13" i="17"/>
  <c r="L15" i="12"/>
  <c r="R15" i="17"/>
  <c r="L17" i="12"/>
  <c r="R17" i="17"/>
  <c r="L19" i="12"/>
  <c r="R19" i="17"/>
  <c r="L21" i="12"/>
  <c r="R21" i="17"/>
  <c r="L10" i="12"/>
  <c r="R10" i="17"/>
  <c r="L12" i="12"/>
  <c r="R12" i="17"/>
  <c r="L14" i="12"/>
  <c r="R14" i="17"/>
  <c r="L16" i="12"/>
  <c r="R16" i="17"/>
  <c r="L18" i="12"/>
  <c r="R18" i="17"/>
  <c r="L20" i="12"/>
  <c r="R20" i="17"/>
  <c r="Q11"/>
  <c r="Q13"/>
  <c r="Q15"/>
  <c r="Q17"/>
  <c r="Q19"/>
  <c r="Q21"/>
  <c r="O8" i="13"/>
  <c r="O9"/>
  <c r="P9" i="15" s="1"/>
  <c r="N10" i="13"/>
  <c r="O10"/>
  <c r="O11"/>
  <c r="P11" i="15" s="1"/>
  <c r="N12" i="13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P10"/>
  <c r="P12"/>
  <c r="P13"/>
  <c r="P14"/>
  <c r="P15"/>
  <c r="P16"/>
  <c r="P17"/>
  <c r="P18"/>
  <c r="P19"/>
  <c r="P20"/>
  <c r="P21"/>
  <c r="BA10"/>
  <c r="BA12"/>
  <c r="BA13"/>
  <c r="BA14"/>
  <c r="BA15"/>
  <c r="BA16"/>
  <c r="BA17"/>
  <c r="BA18"/>
  <c r="BA19"/>
  <c r="BA20"/>
  <c r="BA21"/>
  <c r="O7"/>
  <c r="M22"/>
  <c r="M23"/>
  <c r="M24"/>
  <c r="M25"/>
  <c r="M26"/>
  <c r="M27"/>
  <c r="AN33" i="12"/>
  <c r="AQ8" i="13"/>
  <c r="AO33" i="12" s="1"/>
  <c r="AN34"/>
  <c r="AQ9" i="13"/>
  <c r="AO34" i="12" s="1"/>
  <c r="AQ10" i="13"/>
  <c r="AO35" i="12" s="1"/>
  <c r="AQ11" i="13"/>
  <c r="AO36" i="12" s="1"/>
  <c r="AQ12" i="13"/>
  <c r="AO37" i="12" s="1"/>
  <c r="AQ13" i="13"/>
  <c r="AO38" i="12" s="1"/>
  <c r="AQ14" i="13"/>
  <c r="AO39" i="12" s="1"/>
  <c r="AQ15" i="13"/>
  <c r="AO40" i="12" s="1"/>
  <c r="AQ16" i="13"/>
  <c r="AO41" i="12" s="1"/>
  <c r="AQ17" i="13"/>
  <c r="AO42" i="12" s="1"/>
  <c r="AQ18" i="13"/>
  <c r="AO43" i="12" s="1"/>
  <c r="AQ19" i="13"/>
  <c r="AO44" i="12" s="1"/>
  <c r="AQ20" i="13"/>
  <c r="AO45" i="12" s="1"/>
  <c r="AQ21" i="13"/>
  <c r="AO46" i="12" s="1"/>
  <c r="AQ7" i="13"/>
  <c r="AO32" i="12" s="1"/>
  <c r="AN32"/>
  <c r="BB10" i="17" l="1"/>
  <c r="K10" s="1"/>
  <c r="BC10"/>
  <c r="AO47" i="12"/>
  <c r="AN47"/>
  <c r="BB9" i="17"/>
  <c r="K9" s="1"/>
  <c r="BB8"/>
  <c r="K8" s="1"/>
  <c r="BC8"/>
  <c r="AP21" i="12"/>
  <c r="AP17"/>
  <c r="AP9"/>
  <c r="AP19"/>
  <c r="AP15"/>
  <c r="AP11"/>
  <c r="AP18"/>
  <c r="AP14"/>
  <c r="AP13"/>
  <c r="AP20"/>
  <c r="AP16"/>
  <c r="AP10"/>
  <c r="AP12"/>
  <c r="AP8"/>
  <c r="K26" i="15"/>
  <c r="AJ26" i="13"/>
  <c r="K24" i="15"/>
  <c r="AJ24" i="13"/>
  <c r="K22" i="15"/>
  <c r="AJ22" i="13"/>
  <c r="K27" i="15"/>
  <c r="AJ27" i="13"/>
  <c r="K25" i="15"/>
  <c r="AJ25" i="13"/>
  <c r="K23" i="15"/>
  <c r="AJ23" i="13"/>
  <c r="AX8"/>
  <c r="AV33" i="12" s="1"/>
  <c r="AY8" i="13"/>
  <c r="AW33" i="12" s="1"/>
  <c r="AX9" i="13"/>
  <c r="AV34" i="12" s="1"/>
  <c r="AY9" i="13"/>
  <c r="AW34" i="12" s="1"/>
  <c r="AX10" i="13"/>
  <c r="AV35" i="12" s="1"/>
  <c r="AY10" i="13"/>
  <c r="AW35" i="12" s="1"/>
  <c r="AX11" i="13"/>
  <c r="AV36" i="12" s="1"/>
  <c r="AY11" i="13"/>
  <c r="AW36" i="12" s="1"/>
  <c r="AX12" i="13"/>
  <c r="AV37" i="12" s="1"/>
  <c r="AY12" i="13"/>
  <c r="AW37" i="12" s="1"/>
  <c r="AX13" i="13"/>
  <c r="AV38" i="12" s="1"/>
  <c r="AY13" i="13"/>
  <c r="AW38" i="12" s="1"/>
  <c r="AX14" i="13"/>
  <c r="AV39" i="12" s="1"/>
  <c r="AY14" i="13"/>
  <c r="AW39" i="12" s="1"/>
  <c r="AX15" i="13"/>
  <c r="AV40" i="12" s="1"/>
  <c r="AY15" i="13"/>
  <c r="AW40" i="12" s="1"/>
  <c r="AX16" i="13"/>
  <c r="AV41" i="12" s="1"/>
  <c r="AY16" i="13"/>
  <c r="AW41" i="12" s="1"/>
  <c r="AX17" i="13"/>
  <c r="AV42" i="12" s="1"/>
  <c r="AY17" i="13"/>
  <c r="AW42" i="12" s="1"/>
  <c r="AX18" i="13"/>
  <c r="AV43" i="12" s="1"/>
  <c r="AY18" i="13"/>
  <c r="AW43" i="12" s="1"/>
  <c r="AX19" i="13"/>
  <c r="AV44" i="12" s="1"/>
  <c r="AY19" i="13"/>
  <c r="AW44" i="12" s="1"/>
  <c r="AX20" i="13"/>
  <c r="AV45" i="12" s="1"/>
  <c r="AY20" i="13"/>
  <c r="AW45" i="12" s="1"/>
  <c r="AX21" i="13"/>
  <c r="AV46" i="12" s="1"/>
  <c r="AY21" i="13"/>
  <c r="AW46" i="12" s="1"/>
  <c r="AY7" i="13"/>
  <c r="AW32" i="12" s="1"/>
  <c r="AX7" i="13"/>
  <c r="AV32" i="12" s="1"/>
  <c r="AT9" i="13"/>
  <c r="AT10"/>
  <c r="AT11"/>
  <c r="AT12"/>
  <c r="BJ12" s="1"/>
  <c r="AT13"/>
  <c r="BJ13" s="1"/>
  <c r="AT14"/>
  <c r="BJ14" s="1"/>
  <c r="AT15"/>
  <c r="BJ15" s="1"/>
  <c r="AT16"/>
  <c r="BJ16" s="1"/>
  <c r="AT17"/>
  <c r="BJ17" s="1"/>
  <c r="AT18"/>
  <c r="BJ18" s="1"/>
  <c r="AT19"/>
  <c r="AT20"/>
  <c r="AT21"/>
  <c r="AT7"/>
  <c r="AV8"/>
  <c r="AV9"/>
  <c r="AV10"/>
  <c r="AV11"/>
  <c r="AV12"/>
  <c r="AV13"/>
  <c r="AV14"/>
  <c r="AV15"/>
  <c r="AV16"/>
  <c r="AV17"/>
  <c r="AV18"/>
  <c r="AV19"/>
  <c r="AV20"/>
  <c r="AV21"/>
  <c r="AV7"/>
  <c r="AS32" i="12" s="1"/>
  <c r="BK18" i="13" l="1"/>
  <c r="BE18" s="1"/>
  <c r="AL18" s="1"/>
  <c r="AS43" i="12"/>
  <c r="BK15" i="13"/>
  <c r="BE15" s="1"/>
  <c r="AL15" s="1"/>
  <c r="AS40" i="12"/>
  <c r="BK16" i="13"/>
  <c r="BE16" s="1"/>
  <c r="AL16" s="1"/>
  <c r="AS41" i="12"/>
  <c r="BK12" i="13"/>
  <c r="BE12" s="1"/>
  <c r="AL12" s="1"/>
  <c r="AS37" i="12"/>
  <c r="BK21" i="13"/>
  <c r="BE21" s="1"/>
  <c r="AL21" s="1"/>
  <c r="AS46" i="12"/>
  <c r="BK17" i="13"/>
  <c r="BE17" s="1"/>
  <c r="AL17" s="1"/>
  <c r="AS42" i="12"/>
  <c r="BK13" i="13"/>
  <c r="BE13" s="1"/>
  <c r="AL13" s="1"/>
  <c r="AS38" i="12"/>
  <c r="BK10" i="13"/>
  <c r="BE10" s="1"/>
  <c r="AL10" s="1"/>
  <c r="AS35" i="12"/>
  <c r="BK11" i="13"/>
  <c r="BE11" s="1"/>
  <c r="AL11" s="1"/>
  <c r="AA11" i="15" s="1"/>
  <c r="AS36" i="12"/>
  <c r="BK14" i="13"/>
  <c r="BE14" s="1"/>
  <c r="AL14" s="1"/>
  <c r="AA14" i="15" s="1"/>
  <c r="AS39" i="12"/>
  <c r="BK19" i="13"/>
  <c r="BE19" s="1"/>
  <c r="AL19" s="1"/>
  <c r="AA19" i="15" s="1"/>
  <c r="AS44" i="12"/>
  <c r="BK20" i="13"/>
  <c r="BE20" s="1"/>
  <c r="AL20" s="1"/>
  <c r="AS45" i="12"/>
  <c r="AW47"/>
  <c r="AW48" s="1"/>
  <c r="AP47"/>
  <c r="AP48" s="1"/>
  <c r="AN7" s="1"/>
  <c r="AP7" s="1"/>
  <c r="AV47"/>
  <c r="AV48" s="1"/>
  <c r="AS33"/>
  <c r="AS34"/>
  <c r="AA21" i="15"/>
  <c r="AK21" i="12"/>
  <c r="AV21" s="1"/>
  <c r="AK19"/>
  <c r="AV19" s="1"/>
  <c r="AA17" i="15"/>
  <c r="AK17" i="12"/>
  <c r="AV17" s="1"/>
  <c r="AA15" i="15"/>
  <c r="AK15" i="12"/>
  <c r="AV15" s="1"/>
  <c r="AA13" i="15"/>
  <c r="AK13" i="12"/>
  <c r="AV13" s="1"/>
  <c r="AK11"/>
  <c r="AV11" s="1"/>
  <c r="AA20" i="15"/>
  <c r="AK20" i="12"/>
  <c r="AV20" s="1"/>
  <c r="AA18" i="15"/>
  <c r="AK18" i="12"/>
  <c r="AV18" s="1"/>
  <c r="AA16" i="15"/>
  <c r="AK16" i="12"/>
  <c r="AV16" s="1"/>
  <c r="AK14"/>
  <c r="AV14" s="1"/>
  <c r="AA12" i="15"/>
  <c r="AK12" i="12"/>
  <c r="AV12" s="1"/>
  <c r="AA10" i="15"/>
  <c r="AK10" i="12"/>
  <c r="AV10" s="1"/>
  <c r="BD21" i="13"/>
  <c r="AK21" s="1"/>
  <c r="BD20"/>
  <c r="AK20" s="1"/>
  <c r="BD19"/>
  <c r="AK19" s="1"/>
  <c r="BD18"/>
  <c r="AK18" s="1"/>
  <c r="BD17"/>
  <c r="AK17" s="1"/>
  <c r="BD16"/>
  <c r="AK16" s="1"/>
  <c r="BD15"/>
  <c r="AK15" s="1"/>
  <c r="BD14"/>
  <c r="AK14" s="1"/>
  <c r="BD13"/>
  <c r="AK13" s="1"/>
  <c r="BD12"/>
  <c r="AK12" s="1"/>
  <c r="BD11"/>
  <c r="AK11" s="1"/>
  <c r="BD10"/>
  <c r="AK10" s="1"/>
  <c r="AZ21"/>
  <c r="AZ20"/>
  <c r="AZ19"/>
  <c r="AZ18"/>
  <c r="AZ17"/>
  <c r="AZ16"/>
  <c r="AZ15"/>
  <c r="AZ14"/>
  <c r="AZ13"/>
  <c r="AZ12"/>
  <c r="AZ11"/>
  <c r="AZ10"/>
  <c r="AZ9"/>
  <c r="AW7"/>
  <c r="BJ7" s="1"/>
  <c r="I7" s="1"/>
  <c r="M7" s="1"/>
  <c r="AZ8"/>
  <c r="AT8"/>
  <c r="BJ8" s="1"/>
  <c r="AZ7"/>
  <c r="AW8"/>
  <c r="AW20"/>
  <c r="AW18"/>
  <c r="AW16"/>
  <c r="AW14"/>
  <c r="AW12"/>
  <c r="AW10"/>
  <c r="BJ10" s="1"/>
  <c r="I10" s="1"/>
  <c r="AW21"/>
  <c r="AW19"/>
  <c r="AW17"/>
  <c r="AW15"/>
  <c r="AW13"/>
  <c r="AW11"/>
  <c r="BJ11" s="1"/>
  <c r="AW9"/>
  <c r="BJ9" s="1"/>
  <c r="I9" s="1"/>
  <c r="M10" l="1"/>
  <c r="O10" i="12" s="1"/>
  <c r="K10"/>
  <c r="AX48"/>
  <c r="I8" i="13"/>
  <c r="K8" i="12" s="1"/>
  <c r="AS47"/>
  <c r="AS48" s="1"/>
  <c r="AT48" s="1"/>
  <c r="M9" i="13"/>
  <c r="O9" i="12" s="1"/>
  <c r="K9"/>
  <c r="Z11" i="15"/>
  <c r="AJ11" i="12"/>
  <c r="Z13" i="15"/>
  <c r="AJ13" i="12"/>
  <c r="Z15" i="15"/>
  <c r="AJ15" i="12"/>
  <c r="Z17" i="15"/>
  <c r="AJ17" i="12"/>
  <c r="Z19" i="15"/>
  <c r="AJ19" i="12"/>
  <c r="Z21" i="15"/>
  <c r="AJ21" i="12"/>
  <c r="Z10" i="15"/>
  <c r="AJ10" i="12"/>
  <c r="Z12" i="15"/>
  <c r="AJ12" i="12"/>
  <c r="Z14" i="15"/>
  <c r="AJ14" i="12"/>
  <c r="Z16" i="15"/>
  <c r="AJ16" i="12"/>
  <c r="Z18" i="15"/>
  <c r="AJ18" i="12"/>
  <c r="Z20" i="15"/>
  <c r="AJ20" i="12"/>
  <c r="AQ13"/>
  <c r="AQ12"/>
  <c r="AQ11"/>
  <c r="AQ10"/>
  <c r="D8" i="13"/>
  <c r="D10"/>
  <c r="AS8"/>
  <c r="AS9"/>
  <c r="AS10"/>
  <c r="AS11"/>
  <c r="AS12"/>
  <c r="AS13"/>
  <c r="AS14"/>
  <c r="AS15"/>
  <c r="AS16"/>
  <c r="AS17"/>
  <c r="AS18"/>
  <c r="AS19"/>
  <c r="AS20"/>
  <c r="AS21"/>
  <c r="AR8"/>
  <c r="AR9"/>
  <c r="AR10"/>
  <c r="AR11"/>
  <c r="AR12"/>
  <c r="AR13"/>
  <c r="AR14"/>
  <c r="AR15"/>
  <c r="AR16"/>
  <c r="AR17"/>
  <c r="AR18"/>
  <c r="AR19"/>
  <c r="AR20"/>
  <c r="AR21"/>
  <c r="AS7"/>
  <c r="AR7"/>
  <c r="AS52" i="12" l="1"/>
  <c r="O28" s="1"/>
  <c r="M8" i="13"/>
  <c r="O8" i="12" s="1"/>
  <c r="AQ8" s="1"/>
  <c r="O7"/>
  <c r="AQ7" s="1"/>
  <c r="AQ14"/>
  <c r="AQ15"/>
  <c r="AQ16"/>
  <c r="AQ18"/>
  <c r="AQ20"/>
  <c r="AQ19"/>
  <c r="AQ21"/>
  <c r="S19" i="13"/>
  <c r="S11"/>
  <c r="S16"/>
  <c r="T16"/>
  <c r="AS16" i="12" s="1"/>
  <c r="S13" i="13"/>
  <c r="T13"/>
  <c r="AS13" i="12" s="1"/>
  <c r="S14" i="13"/>
  <c r="T14"/>
  <c r="AS14" i="12" s="1"/>
  <c r="S15" i="13"/>
  <c r="T15"/>
  <c r="AS15" i="12" s="1"/>
  <c r="S20" i="13"/>
  <c r="S12"/>
  <c r="T12"/>
  <c r="AS12" i="12" s="1"/>
  <c r="S17" i="13"/>
  <c r="T10"/>
  <c r="S10"/>
  <c r="S9"/>
  <c r="AG9" i="12"/>
  <c r="AG7"/>
  <c r="K7"/>
  <c r="AQ9"/>
  <c r="AB19" i="1"/>
  <c r="AB21"/>
  <c r="AB22"/>
  <c r="AB23"/>
  <c r="AB24"/>
  <c r="AB25"/>
  <c r="AB26"/>
  <c r="AB27"/>
  <c r="AB28"/>
  <c r="AB29"/>
  <c r="AB30"/>
  <c r="AF16"/>
  <c r="AB16" s="1"/>
  <c r="P7" i="12" s="1"/>
  <c r="AF17" i="1"/>
  <c r="AF18"/>
  <c r="AF19"/>
  <c r="AF20"/>
  <c r="AF21"/>
  <c r="AF22"/>
  <c r="AF23"/>
  <c r="AF24"/>
  <c r="AF25"/>
  <c r="AF26"/>
  <c r="AF27"/>
  <c r="AF28"/>
  <c r="AF29"/>
  <c r="AF30"/>
  <c r="P10" i="12" l="1"/>
  <c r="BA10" i="17"/>
  <c r="BA7"/>
  <c r="BC7"/>
  <c r="AQ17" i="12"/>
  <c r="AQ28" s="1"/>
  <c r="Q7" i="15"/>
  <c r="M7"/>
  <c r="T21" i="13"/>
  <c r="AS21" i="12" s="1"/>
  <c r="S21" i="13"/>
  <c r="T18"/>
  <c r="AS18" i="12" s="1"/>
  <c r="S18" i="13"/>
  <c r="T19"/>
  <c r="AS19" i="12" s="1"/>
  <c r="T17" i="13"/>
  <c r="AS17" i="12" s="1"/>
  <c r="T20" i="13"/>
  <c r="AS20" i="12" s="1"/>
  <c r="M8" i="15"/>
  <c r="Q8"/>
  <c r="R11" i="13"/>
  <c r="T11" s="1"/>
  <c r="N11"/>
  <c r="BA11"/>
  <c r="AB20" i="1"/>
  <c r="AS11" i="12"/>
  <c r="AT7"/>
  <c r="U7" i="15"/>
  <c r="S8" i="13"/>
  <c r="AG8" i="12"/>
  <c r="U9" i="15"/>
  <c r="AT9" i="12"/>
  <c r="AI8"/>
  <c r="R8" i="13"/>
  <c r="T8" s="1"/>
  <c r="AI7" i="12"/>
  <c r="AU7" s="1"/>
  <c r="R7" i="13"/>
  <c r="R9"/>
  <c r="T9" s="1"/>
  <c r="AI9" i="12"/>
  <c r="N9" i="13"/>
  <c r="BA9"/>
  <c r="AB18" i="1"/>
  <c r="P9" i="12" s="1"/>
  <c r="BA7" i="13"/>
  <c r="N7"/>
  <c r="AB17" i="1"/>
  <c r="P8" i="12" s="1"/>
  <c r="N8" i="13"/>
  <c r="BA8"/>
  <c r="G9" i="12"/>
  <c r="G10"/>
  <c r="G11"/>
  <c r="G12"/>
  <c r="G13"/>
  <c r="G14"/>
  <c r="G15"/>
  <c r="G16"/>
  <c r="G17"/>
  <c r="G18"/>
  <c r="G19"/>
  <c r="G20"/>
  <c r="G21"/>
  <c r="D7" i="15"/>
  <c r="J10" i="17" l="1"/>
  <c r="BD10"/>
  <c r="BD7"/>
  <c r="BF7" s="1"/>
  <c r="J7"/>
  <c r="O7" s="1"/>
  <c r="BA9"/>
  <c r="BD9" s="1"/>
  <c r="BC9"/>
  <c r="BD9" i="13"/>
  <c r="AK9" s="1"/>
  <c r="BK9"/>
  <c r="BE9" s="1"/>
  <c r="AL9" s="1"/>
  <c r="BA8" i="17"/>
  <c r="BK8" i="13"/>
  <c r="BE8" s="1"/>
  <c r="AL8" s="1"/>
  <c r="BD8"/>
  <c r="AK8" s="1"/>
  <c r="BK7"/>
  <c r="BE7" s="1"/>
  <c r="AL7" s="1"/>
  <c r="BD7"/>
  <c r="AK7" s="1"/>
  <c r="P11"/>
  <c r="AT8" i="12"/>
  <c r="AT28" s="1"/>
  <c r="AG28" s="1"/>
  <c r="U8" i="15"/>
  <c r="X9"/>
  <c r="AU9" i="12"/>
  <c r="AU8"/>
  <c r="X8" i="15"/>
  <c r="P8" i="13"/>
  <c r="D8" i="15"/>
  <c r="G8" i="12"/>
  <c r="D20" i="15"/>
  <c r="G20" i="17"/>
  <c r="D18" i="15"/>
  <c r="G18" i="17"/>
  <c r="D16" i="15"/>
  <c r="G16" i="17"/>
  <c r="D14" i="15"/>
  <c r="G14" i="17"/>
  <c r="D12" i="15"/>
  <c r="G12" i="17"/>
  <c r="D10" i="15"/>
  <c r="G10" i="17"/>
  <c r="D21" i="15"/>
  <c r="G21" i="17"/>
  <c r="D19" i="15"/>
  <c r="G19" i="17"/>
  <c r="D17" i="15"/>
  <c r="G17" i="17"/>
  <c r="D15" i="15"/>
  <c r="G15" i="17"/>
  <c r="D13" i="15"/>
  <c r="G13" i="17"/>
  <c r="D11" i="15"/>
  <c r="G11" i="17"/>
  <c r="X7" i="15"/>
  <c r="P9" i="13"/>
  <c r="D9" i="15"/>
  <c r="G9" i="17"/>
  <c r="G8"/>
  <c r="G7" i="12"/>
  <c r="G7" i="17"/>
  <c r="P7" i="13"/>
  <c r="T7"/>
  <c r="F8"/>
  <c r="F9"/>
  <c r="F10"/>
  <c r="F11"/>
  <c r="F12"/>
  <c r="F13"/>
  <c r="F14"/>
  <c r="F15"/>
  <c r="F16"/>
  <c r="F17"/>
  <c r="F18"/>
  <c r="F19"/>
  <c r="F20"/>
  <c r="F21"/>
  <c r="F7"/>
  <c r="AW27" i="17"/>
  <c r="AW26"/>
  <c r="A26"/>
  <c r="F44" s="1"/>
  <c r="AW25"/>
  <c r="AW24"/>
  <c r="AW23"/>
  <c r="AW22"/>
  <c r="U21"/>
  <c r="T21"/>
  <c r="AV21"/>
  <c r="AU21"/>
  <c r="AX21"/>
  <c r="AW21"/>
  <c r="I21"/>
  <c r="U20"/>
  <c r="T20"/>
  <c r="AV20"/>
  <c r="AU20"/>
  <c r="AX20"/>
  <c r="AW20"/>
  <c r="I20"/>
  <c r="U19"/>
  <c r="T19"/>
  <c r="AV19"/>
  <c r="AU19"/>
  <c r="AX19"/>
  <c r="AW19"/>
  <c r="I19"/>
  <c r="U18"/>
  <c r="T18"/>
  <c r="AV18"/>
  <c r="AU18"/>
  <c r="AX18"/>
  <c r="AW18"/>
  <c r="I18"/>
  <c r="U17"/>
  <c r="T17"/>
  <c r="AV17"/>
  <c r="AU17"/>
  <c r="AX17"/>
  <c r="AW17"/>
  <c r="I17"/>
  <c r="U16"/>
  <c r="T16"/>
  <c r="AV16"/>
  <c r="AU16"/>
  <c r="AX16"/>
  <c r="AW16"/>
  <c r="I16"/>
  <c r="U15"/>
  <c r="T15"/>
  <c r="AV15"/>
  <c r="AU15"/>
  <c r="AX15"/>
  <c r="AW15"/>
  <c r="I15"/>
  <c r="U14"/>
  <c r="T14"/>
  <c r="AV14"/>
  <c r="AU14"/>
  <c r="AX14"/>
  <c r="AW14"/>
  <c r="I14"/>
  <c r="U13"/>
  <c r="T13"/>
  <c r="AV13"/>
  <c r="AU13"/>
  <c r="AX13"/>
  <c r="AW13"/>
  <c r="I13"/>
  <c r="U12"/>
  <c r="T12"/>
  <c r="AV12"/>
  <c r="AU12"/>
  <c r="AX12"/>
  <c r="AW12"/>
  <c r="I12"/>
  <c r="U11"/>
  <c r="T11"/>
  <c r="AV11"/>
  <c r="AU11"/>
  <c r="AX11"/>
  <c r="AW11"/>
  <c r="I11"/>
  <c r="AV10"/>
  <c r="AU10"/>
  <c r="AX10"/>
  <c r="AW10"/>
  <c r="I10"/>
  <c r="AV9"/>
  <c r="AU9"/>
  <c r="AX9"/>
  <c r="AW9"/>
  <c r="I9"/>
  <c r="AV8"/>
  <c r="AU8"/>
  <c r="AX8"/>
  <c r="AW8"/>
  <c r="I8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AV7"/>
  <c r="AU7"/>
  <c r="AU28" s="1"/>
  <c r="AX7"/>
  <c r="AW7"/>
  <c r="AW28" s="1"/>
  <c r="I7"/>
  <c r="AT6"/>
  <c r="AS6"/>
  <c r="B3"/>
  <c r="O10" l="1"/>
  <c r="BO10"/>
  <c r="BP10" s="1"/>
  <c r="BQ10" s="1"/>
  <c r="N10"/>
  <c r="BF10"/>
  <c r="BL10"/>
  <c r="BM10" s="1"/>
  <c r="J8"/>
  <c r="BD8"/>
  <c r="BO7"/>
  <c r="BP7" s="1"/>
  <c r="BQ7" s="1"/>
  <c r="BL9"/>
  <c r="BF9"/>
  <c r="N7"/>
  <c r="BL7"/>
  <c r="BM7" s="1"/>
  <c r="J9"/>
  <c r="N9"/>
  <c r="AJ9" i="12"/>
  <c r="Z9" i="15"/>
  <c r="AA9"/>
  <c r="AK9" i="12"/>
  <c r="AV9" s="1"/>
  <c r="AJ8"/>
  <c r="Z8" i="15"/>
  <c r="AA8"/>
  <c r="AK8" i="12"/>
  <c r="AV8" s="1"/>
  <c r="AK7"/>
  <c r="AV7" s="1"/>
  <c r="AA7" i="15"/>
  <c r="AJ7" i="12"/>
  <c r="Z7" i="15"/>
  <c r="R7" i="12"/>
  <c r="AS7" s="1"/>
  <c r="AU28"/>
  <c r="AI28" s="1"/>
  <c r="U7" i="17"/>
  <c r="C21" i="15"/>
  <c r="F21" i="17"/>
  <c r="C19" i="15"/>
  <c r="F19" i="17"/>
  <c r="C17" i="15"/>
  <c r="F17" i="17"/>
  <c r="C15" i="15"/>
  <c r="F15" i="17"/>
  <c r="C13" i="15"/>
  <c r="F13" i="17"/>
  <c r="C11" i="15"/>
  <c r="F11" i="17"/>
  <c r="C20" i="15"/>
  <c r="F20" i="17"/>
  <c r="C18" i="15"/>
  <c r="F18" i="17"/>
  <c r="C16" i="15"/>
  <c r="F16" i="17"/>
  <c r="C14" i="15"/>
  <c r="F14" i="17"/>
  <c r="C12" i="15"/>
  <c r="F12" i="17"/>
  <c r="C10" i="15"/>
  <c r="F10" i="17"/>
  <c r="Q7"/>
  <c r="C8" i="15"/>
  <c r="F8" i="17"/>
  <c r="C7" i="15"/>
  <c r="F7" i="17"/>
  <c r="C9" i="15"/>
  <c r="F9" i="17"/>
  <c r="AI7"/>
  <c r="AD7"/>
  <c r="AK7"/>
  <c r="AE7"/>
  <c r="Z7"/>
  <c r="P7"/>
  <c r="P12"/>
  <c r="P15"/>
  <c r="P18"/>
  <c r="AK20"/>
  <c r="AE20"/>
  <c r="Z20"/>
  <c r="P20"/>
  <c r="AI20"/>
  <c r="AD20"/>
  <c r="AI21"/>
  <c r="AD21"/>
  <c r="AK21"/>
  <c r="AE21"/>
  <c r="Z21"/>
  <c r="P21"/>
  <c r="AK8"/>
  <c r="AE8"/>
  <c r="Z8"/>
  <c r="P8"/>
  <c r="AI8"/>
  <c r="AD8"/>
  <c r="AI9"/>
  <c r="AD9"/>
  <c r="AK9"/>
  <c r="AE9"/>
  <c r="Z9"/>
  <c r="P9"/>
  <c r="AK10"/>
  <c r="AE10"/>
  <c r="Z10"/>
  <c r="P10"/>
  <c r="AI10"/>
  <c r="AD10"/>
  <c r="P11"/>
  <c r="AI13"/>
  <c r="AD13"/>
  <c r="AK13"/>
  <c r="AE13"/>
  <c r="Z13"/>
  <c r="P13"/>
  <c r="P14"/>
  <c r="AK16"/>
  <c r="AE16"/>
  <c r="Z16"/>
  <c r="P16"/>
  <c r="AI16"/>
  <c r="AD16"/>
  <c r="P17"/>
  <c r="P19"/>
  <c r="AX28"/>
  <c r="AV28"/>
  <c r="T7"/>
  <c r="R10" i="12" l="1"/>
  <c r="AS10" s="1"/>
  <c r="Q10" i="17"/>
  <c r="U10"/>
  <c r="T10"/>
  <c r="O8"/>
  <c r="BO8"/>
  <c r="BP8" s="1"/>
  <c r="BQ8" s="1"/>
  <c r="BL8"/>
  <c r="N8"/>
  <c r="BF8"/>
  <c r="O9"/>
  <c r="BO9"/>
  <c r="BP9" s="1"/>
  <c r="BQ9" s="1"/>
  <c r="AV28" i="12"/>
  <c r="AK28" s="1"/>
  <c r="Z19" i="17"/>
  <c r="AK19"/>
  <c r="AI19"/>
  <c r="Z17"/>
  <c r="AK17"/>
  <c r="AI17"/>
  <c r="AI14"/>
  <c r="Z14"/>
  <c r="AK14"/>
  <c r="Z11"/>
  <c r="AK11"/>
  <c r="AI11"/>
  <c r="AI18"/>
  <c r="Z18"/>
  <c r="AK18"/>
  <c r="Z15"/>
  <c r="AK15"/>
  <c r="AI15"/>
  <c r="AI12"/>
  <c r="Z12"/>
  <c r="AK12"/>
  <c r="AE19"/>
  <c r="AD19"/>
  <c r="AE17"/>
  <c r="AD17"/>
  <c r="AD14"/>
  <c r="AE14"/>
  <c r="AE11"/>
  <c r="AD11"/>
  <c r="AD18"/>
  <c r="AE18"/>
  <c r="AE15"/>
  <c r="AD15"/>
  <c r="AD12"/>
  <c r="AE12"/>
  <c r="F18" i="2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O22" i="13"/>
  <c r="O23"/>
  <c r="O24"/>
  <c r="O25"/>
  <c r="O26"/>
  <c r="O27"/>
  <c r="N22"/>
  <c r="N23"/>
  <c r="N24"/>
  <c r="N25"/>
  <c r="N26"/>
  <c r="N27"/>
  <c r="G17" i="2"/>
  <c r="F17"/>
  <c r="BM8" i="17" l="1"/>
  <c r="R8" i="12"/>
  <c r="AS8" s="1"/>
  <c r="U8" i="17"/>
  <c r="T8"/>
  <c r="Q8"/>
  <c r="R9" i="12"/>
  <c r="AS9" s="1"/>
  <c r="AS28" s="1"/>
  <c r="R28" s="1"/>
  <c r="K35" s="1"/>
  <c r="BM9" i="17"/>
  <c r="Q9"/>
  <c r="T9"/>
  <c r="T28" s="1"/>
  <c r="U9"/>
  <c r="U28" s="1"/>
  <c r="AI28"/>
  <c r="H22" i="2"/>
  <c r="H20"/>
  <c r="H23"/>
  <c r="H21"/>
  <c r="H19"/>
  <c r="AK28" i="17"/>
  <c r="Z28"/>
  <c r="AE28"/>
  <c r="AD28"/>
  <c r="H30" i="2"/>
  <c r="H29"/>
  <c r="H28"/>
  <c r="H18"/>
  <c r="H26"/>
  <c r="H25"/>
  <c r="H31"/>
  <c r="H27"/>
  <c r="H24"/>
  <c r="H17"/>
  <c r="T8" i="12"/>
  <c r="AF8"/>
  <c r="T9"/>
  <c r="AF9"/>
  <c r="T10"/>
  <c r="AF10"/>
  <c r="T11"/>
  <c r="AF11"/>
  <c r="T12"/>
  <c r="AF12"/>
  <c r="T13"/>
  <c r="AF13"/>
  <c r="T14"/>
  <c r="AF14"/>
  <c r="T15"/>
  <c r="AF15"/>
  <c r="T16"/>
  <c r="AF16"/>
  <c r="T17"/>
  <c r="AF17"/>
  <c r="T18"/>
  <c r="AF18"/>
  <c r="T19"/>
  <c r="AF19"/>
  <c r="T20"/>
  <c r="AF20"/>
  <c r="T21"/>
  <c r="AF21"/>
  <c r="BM28" i="17" l="1"/>
  <c r="J36" s="1"/>
  <c r="N13" i="16"/>
  <c r="N14"/>
  <c r="N15"/>
  <c r="N16"/>
  <c r="N17"/>
  <c r="N18"/>
  <c r="N19"/>
  <c r="N20"/>
  <c r="N21"/>
  <c r="N22"/>
  <c r="N23"/>
  <c r="N24"/>
  <c r="N25"/>
  <c r="N26"/>
  <c r="N12"/>
  <c r="I67"/>
  <c r="I54"/>
  <c r="I52"/>
  <c r="I40"/>
  <c r="I38"/>
  <c r="F13" l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A17" i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R13" i="16" l="1"/>
  <c r="U13" s="1"/>
  <c r="U14"/>
  <c r="R15"/>
  <c r="U15" s="1"/>
  <c r="R16"/>
  <c r="U16" s="1"/>
  <c r="R17"/>
  <c r="U17" s="1"/>
  <c r="R18"/>
  <c r="U18" s="1"/>
  <c r="R19"/>
  <c r="U19" s="1"/>
  <c r="R20"/>
  <c r="U20" s="1"/>
  <c r="R21"/>
  <c r="U21" s="1"/>
  <c r="R22"/>
  <c r="U22" s="1"/>
  <c r="R23"/>
  <c r="U23" s="1"/>
  <c r="R24"/>
  <c r="U24" s="1"/>
  <c r="R25"/>
  <c r="U25" s="1"/>
  <c r="R26"/>
  <c r="U26" s="1"/>
  <c r="R12"/>
  <c r="M13"/>
  <c r="M14"/>
  <c r="M15"/>
  <c r="M16"/>
  <c r="M17"/>
  <c r="M18"/>
  <c r="M19"/>
  <c r="M20"/>
  <c r="M21"/>
  <c r="M22"/>
  <c r="M23"/>
  <c r="M24"/>
  <c r="M25"/>
  <c r="M26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L12"/>
  <c r="K12"/>
  <c r="O26" l="1"/>
  <c r="P26"/>
  <c r="O24"/>
  <c r="P24"/>
  <c r="Q24" s="1"/>
  <c r="AE24" s="1"/>
  <c r="AG24" s="1"/>
  <c r="O22"/>
  <c r="P22"/>
  <c r="O20"/>
  <c r="P20"/>
  <c r="Q20" s="1"/>
  <c r="AE20" s="1"/>
  <c r="AG20" s="1"/>
  <c r="O18"/>
  <c r="P18"/>
  <c r="Q18" s="1"/>
  <c r="AE18" s="1"/>
  <c r="AG18" s="1"/>
  <c r="O16"/>
  <c r="P16"/>
  <c r="Q16" s="1"/>
  <c r="AE16" s="1"/>
  <c r="AG16" s="1"/>
  <c r="O14"/>
  <c r="P14"/>
  <c r="Q14" s="1"/>
  <c r="O25"/>
  <c r="P25"/>
  <c r="Q25" s="1"/>
  <c r="AE25" s="1"/>
  <c r="AG25" s="1"/>
  <c r="O23"/>
  <c r="P23"/>
  <c r="Q23" s="1"/>
  <c r="AE23" s="1"/>
  <c r="AG23" s="1"/>
  <c r="O21"/>
  <c r="P21"/>
  <c r="Q21" s="1"/>
  <c r="AE21" s="1"/>
  <c r="AG21" s="1"/>
  <c r="O19"/>
  <c r="P19"/>
  <c r="Q19" s="1"/>
  <c r="AE19" s="1"/>
  <c r="AG19" s="1"/>
  <c r="O17"/>
  <c r="P17"/>
  <c r="Q17" s="1"/>
  <c r="AE17" s="1"/>
  <c r="AG17" s="1"/>
  <c r="O15"/>
  <c r="P15"/>
  <c r="Q15" s="1"/>
  <c r="O13"/>
  <c r="P13"/>
  <c r="Q13" s="1"/>
  <c r="V12"/>
  <c r="U12"/>
  <c r="K38" s="1"/>
  <c r="L52" s="1"/>
  <c r="L65" s="1"/>
  <c r="Q26"/>
  <c r="AE26" s="1"/>
  <c r="AG26" s="1"/>
  <c r="M12"/>
  <c r="P12" s="1"/>
  <c r="G13"/>
  <c r="G14"/>
  <c r="G15"/>
  <c r="G16"/>
  <c r="G17"/>
  <c r="G18"/>
  <c r="G19"/>
  <c r="G20"/>
  <c r="G21"/>
  <c r="G22"/>
  <c r="G23"/>
  <c r="G24"/>
  <c r="G25"/>
  <c r="G26"/>
  <c r="G12"/>
  <c r="C6"/>
  <c r="P36" s="1"/>
  <c r="P50" s="1"/>
  <c r="P63" s="1"/>
  <c r="J32"/>
  <c r="T26"/>
  <c r="S26"/>
  <c r="J26"/>
  <c r="I26"/>
  <c r="H26"/>
  <c r="T25"/>
  <c r="S25"/>
  <c r="J25"/>
  <c r="I25"/>
  <c r="H25"/>
  <c r="T24"/>
  <c r="S24"/>
  <c r="J24"/>
  <c r="I24"/>
  <c r="H24"/>
  <c r="T23"/>
  <c r="S23"/>
  <c r="J23"/>
  <c r="I23"/>
  <c r="H23"/>
  <c r="T22"/>
  <c r="S22"/>
  <c r="J22"/>
  <c r="I22"/>
  <c r="H22"/>
  <c r="T21"/>
  <c r="S21"/>
  <c r="J21"/>
  <c r="I21"/>
  <c r="H21"/>
  <c r="T20"/>
  <c r="S20"/>
  <c r="J20"/>
  <c r="I20"/>
  <c r="H20"/>
  <c r="T19"/>
  <c r="S19"/>
  <c r="J19"/>
  <c r="I19"/>
  <c r="H19"/>
  <c r="T18"/>
  <c r="S18"/>
  <c r="J18"/>
  <c r="I18"/>
  <c r="H18"/>
  <c r="T17"/>
  <c r="S17"/>
  <c r="J17"/>
  <c r="I17"/>
  <c r="H17"/>
  <c r="T16"/>
  <c r="S16"/>
  <c r="J16"/>
  <c r="I16"/>
  <c r="H16"/>
  <c r="T15"/>
  <c r="S15"/>
  <c r="J15"/>
  <c r="I15"/>
  <c r="H15"/>
  <c r="T14"/>
  <c r="S14"/>
  <c r="J14"/>
  <c r="I14"/>
  <c r="H14"/>
  <c r="T13"/>
  <c r="S13"/>
  <c r="J13"/>
  <c r="I13"/>
  <c r="H13"/>
  <c r="T12"/>
  <c r="S12"/>
  <c r="J12"/>
  <c r="I12"/>
  <c r="H12"/>
  <c r="Q12" l="1"/>
  <c r="AE12" s="1"/>
  <c r="AG12" s="1"/>
  <c r="O12"/>
  <c r="Q22"/>
  <c r="AE22" s="1"/>
  <c r="AG22" s="1"/>
  <c r="I65"/>
  <c r="AE13"/>
  <c r="AG13" s="1"/>
  <c r="AE14"/>
  <c r="AG14" s="1"/>
  <c r="AE15"/>
  <c r="AG15" s="1"/>
  <c r="K32" l="1"/>
  <c r="T7" i="12"/>
  <c r="AF7"/>
  <c r="I24" i="7"/>
  <c r="I23"/>
  <c r="I22"/>
  <c r="I21"/>
  <c r="I20"/>
  <c r="I19"/>
  <c r="I18"/>
  <c r="I17"/>
  <c r="I16"/>
  <c r="I15"/>
  <c r="I14"/>
  <c r="I13"/>
  <c r="I12"/>
  <c r="I11"/>
  <c r="J8" i="12"/>
  <c r="J9"/>
  <c r="J10"/>
  <c r="J11"/>
  <c r="J12"/>
  <c r="J13"/>
  <c r="J14"/>
  <c r="J15"/>
  <c r="J16"/>
  <c r="J17"/>
  <c r="J18"/>
  <c r="J19"/>
  <c r="J20"/>
  <c r="J21"/>
  <c r="I8"/>
  <c r="I9"/>
  <c r="I10"/>
  <c r="I11"/>
  <c r="I12"/>
  <c r="I13"/>
  <c r="I14"/>
  <c r="I15"/>
  <c r="I16"/>
  <c r="I17"/>
  <c r="I18"/>
  <c r="I19"/>
  <c r="I20"/>
  <c r="I21"/>
  <c r="J7"/>
  <c r="I7"/>
  <c r="A26"/>
  <c r="F43" s="1"/>
  <c r="AI27" i="13"/>
  <c r="AI26"/>
  <c r="AI25"/>
  <c r="AI24"/>
  <c r="AI23"/>
  <c r="AI22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B3"/>
  <c r="AJ2" s="1"/>
  <c r="F8" i="12"/>
  <c r="F9"/>
  <c r="F10"/>
  <c r="F11"/>
  <c r="F12"/>
  <c r="F13"/>
  <c r="F14"/>
  <c r="F15"/>
  <c r="F16"/>
  <c r="F17"/>
  <c r="F18"/>
  <c r="F19"/>
  <c r="F20"/>
  <c r="F21"/>
  <c r="F7"/>
  <c r="S18"/>
  <c r="B3"/>
  <c r="AE2" s="1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S14" l="1"/>
  <c r="S7" i="13"/>
  <c r="S17" i="12"/>
  <c r="S9"/>
  <c r="S7"/>
  <c r="S16"/>
  <c r="S8"/>
  <c r="S20"/>
  <c r="S12"/>
  <c r="S21"/>
  <c r="S13"/>
  <c r="S19"/>
  <c r="S15"/>
  <c r="S11"/>
  <c r="S10"/>
  <c r="G13" i="3" l="1"/>
  <c r="G12"/>
  <c r="I18" i="2"/>
  <c r="I19"/>
  <c r="I20"/>
  <c r="I21"/>
  <c r="I22"/>
  <c r="I23"/>
  <c r="I24"/>
  <c r="I25"/>
  <c r="I26"/>
  <c r="I27"/>
  <c r="I28"/>
  <c r="I29"/>
  <c r="I30"/>
  <c r="I31"/>
  <c r="I17"/>
  <c r="N18" l="1"/>
  <c r="N19"/>
  <c r="N20"/>
  <c r="N21"/>
  <c r="N22"/>
  <c r="N23"/>
  <c r="N24"/>
  <c r="N25"/>
  <c r="N26"/>
  <c r="N27"/>
  <c r="N28"/>
  <c r="N29"/>
  <c r="N30"/>
  <c r="N31"/>
  <c r="N17"/>
  <c r="AD18" i="1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17"/>
  <c r="AE17" s="1"/>
  <c r="P17" i="8" l="1"/>
  <c r="H17" i="4" l="1"/>
  <c r="H18"/>
  <c r="H19"/>
  <c r="H20"/>
  <c r="H21"/>
  <c r="H22"/>
  <c r="H23"/>
  <c r="H24"/>
  <c r="H25"/>
  <c r="D17"/>
  <c r="D18"/>
  <c r="D19"/>
  <c r="D20"/>
  <c r="D21"/>
  <c r="D22"/>
  <c r="D23"/>
  <c r="D24"/>
  <c r="D25"/>
  <c r="D16" i="5"/>
  <c r="D17"/>
  <c r="D18"/>
  <c r="D19"/>
  <c r="D20"/>
  <c r="D21"/>
  <c r="D22"/>
  <c r="D23"/>
  <c r="D24"/>
  <c r="D16" i="7"/>
  <c r="D17"/>
  <c r="D18"/>
  <c r="D19"/>
  <c r="D20"/>
  <c r="D21"/>
  <c r="D22"/>
  <c r="D23"/>
  <c r="D24"/>
  <c r="V11"/>
  <c r="V12"/>
  <c r="V13"/>
  <c r="V14"/>
  <c r="V15"/>
  <c r="V16"/>
  <c r="V17"/>
  <c r="V18"/>
  <c r="V19"/>
  <c r="V20"/>
  <c r="V21"/>
  <c r="V22"/>
  <c r="V23"/>
  <c r="V24"/>
  <c r="V10"/>
  <c r="S10"/>
  <c r="S11"/>
  <c r="T11"/>
  <c r="U11"/>
  <c r="S12"/>
  <c r="T12"/>
  <c r="U12"/>
  <c r="S13"/>
  <c r="T13"/>
  <c r="U13"/>
  <c r="S14"/>
  <c r="T14"/>
  <c r="U14"/>
  <c r="S15"/>
  <c r="T15"/>
  <c r="U15"/>
  <c r="S16"/>
  <c r="T16"/>
  <c r="U16"/>
  <c r="S17"/>
  <c r="T17"/>
  <c r="U17"/>
  <c r="S18"/>
  <c r="T18"/>
  <c r="U18"/>
  <c r="S19"/>
  <c r="T19"/>
  <c r="U19"/>
  <c r="S20"/>
  <c r="T20"/>
  <c r="U20"/>
  <c r="S21"/>
  <c r="T21"/>
  <c r="U21"/>
  <c r="S22"/>
  <c r="T22"/>
  <c r="U22"/>
  <c r="S23"/>
  <c r="T23"/>
  <c r="U23"/>
  <c r="S24"/>
  <c r="T24"/>
  <c r="U24"/>
  <c r="U10"/>
  <c r="T10"/>
  <c r="I16" i="5"/>
  <c r="I17"/>
  <c r="I18"/>
  <c r="I19"/>
  <c r="I20"/>
  <c r="I21"/>
  <c r="I22"/>
  <c r="I23"/>
  <c r="I24"/>
  <c r="C16" i="3"/>
  <c r="C17"/>
  <c r="C18"/>
  <c r="C19"/>
  <c r="C20"/>
  <c r="C21"/>
  <c r="C22"/>
  <c r="C23"/>
  <c r="C24"/>
  <c r="E17" i="4" l="1"/>
  <c r="E18"/>
  <c r="E19"/>
  <c r="E20"/>
  <c r="E21"/>
  <c r="E22"/>
  <c r="E23"/>
  <c r="E24"/>
  <c r="E25"/>
  <c r="X18" i="1"/>
  <c r="X19"/>
  <c r="X20"/>
  <c r="X21"/>
  <c r="X22"/>
  <c r="X23"/>
  <c r="X24"/>
  <c r="X25"/>
  <c r="X26"/>
  <c r="X27"/>
  <c r="X28"/>
  <c r="X29"/>
  <c r="X30"/>
  <c r="X17"/>
  <c r="E16" i="5"/>
  <c r="E17"/>
  <c r="E18"/>
  <c r="E19"/>
  <c r="E20"/>
  <c r="E21"/>
  <c r="E22"/>
  <c r="E23"/>
  <c r="E24"/>
  <c r="D16" i="3"/>
  <c r="D17"/>
  <c r="D18"/>
  <c r="D19"/>
  <c r="D20"/>
  <c r="D21"/>
  <c r="D22"/>
  <c r="D23"/>
  <c r="D24"/>
  <c r="K17" i="4"/>
  <c r="K18"/>
  <c r="K19"/>
  <c r="K20"/>
  <c r="K21"/>
  <c r="K22"/>
  <c r="K23"/>
  <c r="K24"/>
  <c r="K25"/>
  <c r="U12"/>
  <c r="U13"/>
  <c r="U14"/>
  <c r="V12"/>
  <c r="V13"/>
  <c r="V14"/>
  <c r="V11"/>
  <c r="W12"/>
  <c r="X12"/>
  <c r="W13"/>
  <c r="X13"/>
  <c r="W14"/>
  <c r="X14"/>
  <c r="X11"/>
  <c r="W11"/>
  <c r="AC18" i="1"/>
  <c r="AC19"/>
  <c r="AC20"/>
  <c r="AC21"/>
  <c r="AC22"/>
  <c r="AC23"/>
  <c r="AC24"/>
  <c r="AC25"/>
  <c r="AC26"/>
  <c r="AC27"/>
  <c r="AC28"/>
  <c r="AC29"/>
  <c r="AC30"/>
  <c r="AC17"/>
  <c r="D21" i="9" l="1"/>
  <c r="H21" s="1"/>
  <c r="C21"/>
  <c r="D20"/>
  <c r="H20" s="1"/>
  <c r="C20"/>
  <c r="D18"/>
  <c r="H18" s="1"/>
  <c r="C18"/>
  <c r="D16"/>
  <c r="H16" s="1"/>
  <c r="C16"/>
  <c r="C19"/>
  <c r="D19"/>
  <c r="H19" s="1"/>
  <c r="C17"/>
  <c r="D17"/>
  <c r="H17" s="1"/>
  <c r="C9"/>
  <c r="D9"/>
  <c r="H9" s="1"/>
  <c r="C15"/>
  <c r="D15"/>
  <c r="H15" s="1"/>
  <c r="C14"/>
  <c r="D14"/>
  <c r="H14" s="1"/>
  <c r="C12"/>
  <c r="D12"/>
  <c r="H12" s="1"/>
  <c r="C10"/>
  <c r="D10"/>
  <c r="H10" s="1"/>
  <c r="D13"/>
  <c r="H13" s="1"/>
  <c r="C13"/>
  <c r="D11"/>
  <c r="H11" s="1"/>
  <c r="C11"/>
  <c r="J31" i="8"/>
  <c r="J29"/>
  <c r="J27"/>
  <c r="J25"/>
  <c r="J23"/>
  <c r="J21"/>
  <c r="J19"/>
  <c r="J30"/>
  <c r="J28"/>
  <c r="J26"/>
  <c r="J24"/>
  <c r="J22"/>
  <c r="G11" i="3"/>
  <c r="G16"/>
  <c r="G17"/>
  <c r="G18"/>
  <c r="G19"/>
  <c r="G20"/>
  <c r="G21"/>
  <c r="G22"/>
  <c r="G23"/>
  <c r="G24"/>
  <c r="G12" i="4"/>
  <c r="G13"/>
  <c r="G14"/>
  <c r="G17"/>
  <c r="G18"/>
  <c r="G19"/>
  <c r="G20"/>
  <c r="G21"/>
  <c r="G22"/>
  <c r="G23"/>
  <c r="G24"/>
  <c r="G25"/>
  <c r="A12"/>
  <c r="A13"/>
  <c r="A14"/>
  <c r="A15"/>
  <c r="A16"/>
  <c r="A17"/>
  <c r="A18"/>
  <c r="A19"/>
  <c r="A20"/>
  <c r="A21"/>
  <c r="A22"/>
  <c r="A23"/>
  <c r="A24"/>
  <c r="A25"/>
  <c r="A11"/>
  <c r="G11" i="7"/>
  <c r="G12"/>
  <c r="G13"/>
  <c r="G16"/>
  <c r="G17"/>
  <c r="G18"/>
  <c r="G19"/>
  <c r="G20"/>
  <c r="G21"/>
  <c r="G22"/>
  <c r="G23"/>
  <c r="G24"/>
  <c r="E16"/>
  <c r="E17"/>
  <c r="E18"/>
  <c r="E19"/>
  <c r="E20"/>
  <c r="E21"/>
  <c r="E22"/>
  <c r="E23"/>
  <c r="E24"/>
  <c r="B16"/>
  <c r="B17"/>
  <c r="B18"/>
  <c r="B19"/>
  <c r="B20"/>
  <c r="B21"/>
  <c r="B22"/>
  <c r="B23"/>
  <c r="B24"/>
  <c r="A11"/>
  <c r="A12"/>
  <c r="A13"/>
  <c r="A14"/>
  <c r="A15"/>
  <c r="A16"/>
  <c r="A17"/>
  <c r="A18"/>
  <c r="A19"/>
  <c r="A20"/>
  <c r="A21"/>
  <c r="A22"/>
  <c r="A23"/>
  <c r="A24"/>
  <c r="G11" i="5"/>
  <c r="G12"/>
  <c r="G13"/>
  <c r="G16"/>
  <c r="G17"/>
  <c r="G18"/>
  <c r="G19"/>
  <c r="G20"/>
  <c r="G21"/>
  <c r="G22"/>
  <c r="G23"/>
  <c r="G24"/>
  <c r="B16"/>
  <c r="B17"/>
  <c r="B18"/>
  <c r="B19"/>
  <c r="B20"/>
  <c r="B21"/>
  <c r="B22"/>
  <c r="B23"/>
  <c r="B24"/>
  <c r="A11"/>
  <c r="A12"/>
  <c r="A13"/>
  <c r="A14"/>
  <c r="A15"/>
  <c r="A16"/>
  <c r="A17"/>
  <c r="A18"/>
  <c r="A19"/>
  <c r="A20"/>
  <c r="A21"/>
  <c r="A22"/>
  <c r="A23"/>
  <c r="A24"/>
  <c r="E18" i="2"/>
  <c r="E19"/>
  <c r="E20"/>
  <c r="E21"/>
  <c r="E22"/>
  <c r="E23"/>
  <c r="E24"/>
  <c r="E25"/>
  <c r="E26"/>
  <c r="E27"/>
  <c r="E28"/>
  <c r="E29"/>
  <c r="E30"/>
  <c r="E31"/>
  <c r="C18"/>
  <c r="C19"/>
  <c r="C20"/>
  <c r="C21"/>
  <c r="C22"/>
  <c r="C23"/>
  <c r="C24"/>
  <c r="C25"/>
  <c r="C26"/>
  <c r="C27"/>
  <c r="C28"/>
  <c r="C29"/>
  <c r="C30"/>
  <c r="C31"/>
  <c r="G21" i="9" l="1"/>
  <c r="K21"/>
  <c r="J21"/>
  <c r="I21" s="1"/>
  <c r="F21"/>
  <c r="K17"/>
  <c r="F17"/>
  <c r="J17"/>
  <c r="I17" s="1"/>
  <c r="G17"/>
  <c r="K19"/>
  <c r="F19"/>
  <c r="J19"/>
  <c r="I19" s="1"/>
  <c r="G19"/>
  <c r="J16"/>
  <c r="I16" s="1"/>
  <c r="G16"/>
  <c r="K16"/>
  <c r="P16" s="1"/>
  <c r="F16"/>
  <c r="J18"/>
  <c r="I18" s="1"/>
  <c r="G18"/>
  <c r="R18" s="1"/>
  <c r="K18"/>
  <c r="P18" s="1"/>
  <c r="F18"/>
  <c r="J20"/>
  <c r="I20" s="1"/>
  <c r="G20"/>
  <c r="R20" s="1"/>
  <c r="K20"/>
  <c r="P20" s="1"/>
  <c r="F20"/>
  <c r="J9"/>
  <c r="I9" s="1"/>
  <c r="F9"/>
  <c r="G9"/>
  <c r="R9" s="1"/>
  <c r="K15"/>
  <c r="F15"/>
  <c r="J15"/>
  <c r="I15" s="1"/>
  <c r="G15"/>
  <c r="R15" s="1"/>
  <c r="K10"/>
  <c r="J10"/>
  <c r="I10" s="1"/>
  <c r="F10"/>
  <c r="G10"/>
  <c r="R10" s="1"/>
  <c r="K12"/>
  <c r="J12"/>
  <c r="I12" s="1"/>
  <c r="F12"/>
  <c r="G12"/>
  <c r="K14"/>
  <c r="P14" s="1"/>
  <c r="J14"/>
  <c r="I14" s="1"/>
  <c r="F14"/>
  <c r="G14"/>
  <c r="R14" s="1"/>
  <c r="G11"/>
  <c r="K11"/>
  <c r="P11" s="1"/>
  <c r="J11"/>
  <c r="I11" s="1"/>
  <c r="F11"/>
  <c r="G13"/>
  <c r="K13"/>
  <c r="P13" s="1"/>
  <c r="J13"/>
  <c r="I13" s="1"/>
  <c r="F13"/>
  <c r="T13"/>
  <c r="R13"/>
  <c r="T17"/>
  <c r="R17"/>
  <c r="P17"/>
  <c r="T21"/>
  <c r="R21"/>
  <c r="P21"/>
  <c r="P12"/>
  <c r="R12"/>
  <c r="T14"/>
  <c r="R16"/>
  <c r="T18"/>
  <c r="T22"/>
  <c r="T11"/>
  <c r="R11"/>
  <c r="T15"/>
  <c r="P15"/>
  <c r="T19"/>
  <c r="R19"/>
  <c r="P19"/>
  <c r="T12"/>
  <c r="T16"/>
  <c r="T20"/>
  <c r="P22"/>
  <c r="R22"/>
  <c r="T9"/>
  <c r="T10"/>
  <c r="P10"/>
  <c r="E17" i="2"/>
  <c r="C17"/>
  <c r="K9" i="9" l="1"/>
  <c r="P9" s="1"/>
  <c r="M21"/>
  <c r="L21"/>
  <c r="N21"/>
  <c r="M20"/>
  <c r="L20"/>
  <c r="N20"/>
  <c r="M18"/>
  <c r="U18" s="1"/>
  <c r="L18"/>
  <c r="S18" s="1"/>
  <c r="N18"/>
  <c r="M16"/>
  <c r="L16"/>
  <c r="S16" s="1"/>
  <c r="N16"/>
  <c r="Q16" s="1"/>
  <c r="L19"/>
  <c r="S19" s="1"/>
  <c r="N19"/>
  <c r="M19"/>
  <c r="U19" s="1"/>
  <c r="L17"/>
  <c r="S17" s="1"/>
  <c r="N17"/>
  <c r="Q17" s="1"/>
  <c r="M17"/>
  <c r="N9"/>
  <c r="L9"/>
  <c r="S9" s="1"/>
  <c r="M9"/>
  <c r="U9" s="1"/>
  <c r="M15"/>
  <c r="U15" s="1"/>
  <c r="N15"/>
  <c r="Q15" s="1"/>
  <c r="L15"/>
  <c r="N14"/>
  <c r="M14"/>
  <c r="L14"/>
  <c r="N12"/>
  <c r="M12"/>
  <c r="U12" s="1"/>
  <c r="L12"/>
  <c r="S12" s="1"/>
  <c r="N10"/>
  <c r="Q10" s="1"/>
  <c r="M10"/>
  <c r="U10" s="1"/>
  <c r="L10"/>
  <c r="S10" s="1"/>
  <c r="M13"/>
  <c r="L13"/>
  <c r="S13" s="1"/>
  <c r="N13"/>
  <c r="Q13" s="1"/>
  <c r="M11"/>
  <c r="U11" s="1"/>
  <c r="L11"/>
  <c r="N11"/>
  <c r="Q11" s="1"/>
  <c r="Q12"/>
  <c r="Q19"/>
  <c r="Q21"/>
  <c r="U16"/>
  <c r="U17"/>
  <c r="Q20"/>
  <c r="Q18"/>
  <c r="U22"/>
  <c r="S22"/>
  <c r="U14"/>
  <c r="S11"/>
  <c r="S20"/>
  <c r="U21"/>
  <c r="S21"/>
  <c r="U13"/>
  <c r="U20"/>
  <c r="S14"/>
  <c r="S15"/>
  <c r="Q22"/>
  <c r="Q14"/>
  <c r="D18" i="2"/>
  <c r="D19"/>
  <c r="D20"/>
  <c r="D21"/>
  <c r="D22"/>
  <c r="D23"/>
  <c r="D24"/>
  <c r="D25"/>
  <c r="D26"/>
  <c r="D27"/>
  <c r="D28"/>
  <c r="D29"/>
  <c r="D30"/>
  <c r="D31"/>
  <c r="B18"/>
  <c r="B19"/>
  <c r="B20"/>
  <c r="B21"/>
  <c r="B22"/>
  <c r="B23"/>
  <c r="B24"/>
  <c r="B25"/>
  <c r="B26"/>
  <c r="B27"/>
  <c r="B28"/>
  <c r="B29"/>
  <c r="B30"/>
  <c r="B31"/>
  <c r="B17"/>
  <c r="Q9" i="9" l="1"/>
  <c r="V14"/>
  <c r="V22"/>
  <c r="V15"/>
  <c r="V16"/>
  <c r="V17"/>
  <c r="V13"/>
  <c r="V21"/>
  <c r="V11"/>
  <c r="V19"/>
  <c r="V18"/>
  <c r="V12"/>
  <c r="V20"/>
  <c r="V9"/>
  <c r="V10"/>
  <c r="Y18" i="1"/>
  <c r="Y19"/>
  <c r="Y20"/>
  <c r="B20" i="8" s="1"/>
  <c r="Y21" i="1"/>
  <c r="Y22"/>
  <c r="Y23"/>
  <c r="Y24"/>
  <c r="Y25"/>
  <c r="Y26"/>
  <c r="Y27"/>
  <c r="Y28"/>
  <c r="Y29"/>
  <c r="Y30"/>
  <c r="Y17"/>
  <c r="AA18"/>
  <c r="AA19"/>
  <c r="AA20"/>
  <c r="AA21"/>
  <c r="AA22"/>
  <c r="AA23"/>
  <c r="AA24"/>
  <c r="AA25"/>
  <c r="AA26"/>
  <c r="AA27"/>
  <c r="AA28"/>
  <c r="AA29"/>
  <c r="AA30"/>
  <c r="Z18"/>
  <c r="Z19"/>
  <c r="Z20"/>
  <c r="Z21"/>
  <c r="E21" i="10" s="1"/>
  <c r="Z22" i="1"/>
  <c r="Z23"/>
  <c r="E23" i="10" s="1"/>
  <c r="Z24" i="1"/>
  <c r="Z25"/>
  <c r="E25" i="10" s="1"/>
  <c r="Z26" i="1"/>
  <c r="Z27"/>
  <c r="E27" i="10" s="1"/>
  <c r="Z28" i="1"/>
  <c r="Z29"/>
  <c r="E29" i="10" s="1"/>
  <c r="Z30" i="1"/>
  <c r="F30" i="10" s="1"/>
  <c r="AP20" i="17" s="1"/>
  <c r="E31" i="10"/>
  <c r="AA17" i="1"/>
  <c r="Z17"/>
  <c r="E19" i="10" l="1"/>
  <c r="F28"/>
  <c r="AP18" i="17" s="1"/>
  <c r="F26" i="10"/>
  <c r="AP16" i="17" s="1"/>
  <c r="F22" i="10"/>
  <c r="AP12" i="17" s="1"/>
  <c r="F20" i="10"/>
  <c r="AP10" i="17" s="1"/>
  <c r="F24" i="10"/>
  <c r="AP14" i="17" s="1"/>
  <c r="E18" i="10"/>
  <c r="AM10" i="17"/>
  <c r="AL10"/>
  <c r="AN10"/>
  <c r="AO10" s="1"/>
  <c r="E31" i="8"/>
  <c r="C31"/>
  <c r="D31"/>
  <c r="B31"/>
  <c r="E29"/>
  <c r="C29"/>
  <c r="D29"/>
  <c r="B29"/>
  <c r="E27"/>
  <c r="C27"/>
  <c r="D27"/>
  <c r="B27"/>
  <c r="E25"/>
  <c r="C25"/>
  <c r="D25"/>
  <c r="B25"/>
  <c r="E23"/>
  <c r="C23"/>
  <c r="D23"/>
  <c r="B23"/>
  <c r="B31" i="10"/>
  <c r="B29"/>
  <c r="M29" s="1"/>
  <c r="B27"/>
  <c r="B25"/>
  <c r="M25" s="1"/>
  <c r="B23"/>
  <c r="K23" s="1"/>
  <c r="D30"/>
  <c r="L30" s="1"/>
  <c r="D28"/>
  <c r="L28" s="1"/>
  <c r="D26"/>
  <c r="L26" s="1"/>
  <c r="D24"/>
  <c r="N24" s="1"/>
  <c r="C31"/>
  <c r="C29"/>
  <c r="C27"/>
  <c r="C25"/>
  <c r="C23"/>
  <c r="E30"/>
  <c r="E28"/>
  <c r="E26"/>
  <c r="E24"/>
  <c r="F31"/>
  <c r="AP21" i="17" s="1"/>
  <c r="F29" i="10"/>
  <c r="AP19" i="17" s="1"/>
  <c r="F27" i="10"/>
  <c r="AP17" i="17" s="1"/>
  <c r="F25" i="10"/>
  <c r="AP15" i="17" s="1"/>
  <c r="F23" i="10"/>
  <c r="AP13" i="17" s="1"/>
  <c r="D30" i="8"/>
  <c r="B30"/>
  <c r="E30"/>
  <c r="C30"/>
  <c r="D28"/>
  <c r="B28"/>
  <c r="E28"/>
  <c r="C28"/>
  <c r="D26"/>
  <c r="B26"/>
  <c r="E26"/>
  <c r="C26"/>
  <c r="D24"/>
  <c r="B24"/>
  <c r="E24"/>
  <c r="C24"/>
  <c r="F17" i="10"/>
  <c r="B30"/>
  <c r="B28"/>
  <c r="K28" s="1"/>
  <c r="B26"/>
  <c r="K26" s="1"/>
  <c r="B24"/>
  <c r="K24" s="1"/>
  <c r="D31"/>
  <c r="D29"/>
  <c r="N29" s="1"/>
  <c r="D27"/>
  <c r="N27" s="1"/>
  <c r="D25"/>
  <c r="N25" s="1"/>
  <c r="D23"/>
  <c r="L23" s="1"/>
  <c r="C30"/>
  <c r="C28"/>
  <c r="C26"/>
  <c r="C24"/>
  <c r="E22" i="8"/>
  <c r="D22"/>
  <c r="C22"/>
  <c r="B22"/>
  <c r="B22" i="10"/>
  <c r="D22"/>
  <c r="C22"/>
  <c r="E22"/>
  <c r="E21" i="8"/>
  <c r="D21"/>
  <c r="C21"/>
  <c r="B21"/>
  <c r="E19"/>
  <c r="D19"/>
  <c r="C19"/>
  <c r="B19"/>
  <c r="B21" i="10"/>
  <c r="C21"/>
  <c r="F21"/>
  <c r="AP11" i="17" s="1"/>
  <c r="E20" i="8"/>
  <c r="J20" s="1"/>
  <c r="D20"/>
  <c r="C20"/>
  <c r="E18"/>
  <c r="J18" s="1"/>
  <c r="D18"/>
  <c r="C18"/>
  <c r="B18"/>
  <c r="D21" i="10"/>
  <c r="M31"/>
  <c r="K31"/>
  <c r="K25"/>
  <c r="M23"/>
  <c r="N30"/>
  <c r="L24"/>
  <c r="L22"/>
  <c r="M30"/>
  <c r="K30"/>
  <c r="M28"/>
  <c r="M22"/>
  <c r="N31"/>
  <c r="L31"/>
  <c r="L25"/>
  <c r="N23"/>
  <c r="D17" i="8"/>
  <c r="B17"/>
  <c r="E17"/>
  <c r="J17" s="1"/>
  <c r="C17"/>
  <c r="B20" i="10"/>
  <c r="D20"/>
  <c r="C20"/>
  <c r="E20"/>
  <c r="B19"/>
  <c r="C19"/>
  <c r="F19"/>
  <c r="D19"/>
  <c r="B17"/>
  <c r="D17"/>
  <c r="C17"/>
  <c r="E17"/>
  <c r="B18"/>
  <c r="C18"/>
  <c r="F18"/>
  <c r="D18"/>
  <c r="C8" i="9"/>
  <c r="D8"/>
  <c r="O21" i="2"/>
  <c r="O22"/>
  <c r="O23"/>
  <c r="O24"/>
  <c r="O25"/>
  <c r="O26"/>
  <c r="O27"/>
  <c r="O28"/>
  <c r="O29"/>
  <c r="O30"/>
  <c r="O31"/>
  <c r="O32"/>
  <c r="E32" i="9"/>
  <c r="C35" i="4"/>
  <c r="D34" i="7"/>
  <c r="D34" i="5"/>
  <c r="D36" i="3"/>
  <c r="E37" i="8"/>
  <c r="D12" i="10"/>
  <c r="D14"/>
  <c r="F11" i="8"/>
  <c r="D38" i="10"/>
  <c r="A18"/>
  <c r="A19"/>
  <c r="A20"/>
  <c r="A21"/>
  <c r="A22"/>
  <c r="A23"/>
  <c r="A24"/>
  <c r="A25"/>
  <c r="A26"/>
  <c r="A27"/>
  <c r="A28"/>
  <c r="A29"/>
  <c r="A30"/>
  <c r="A31"/>
  <c r="D38" i="2"/>
  <c r="E11"/>
  <c r="A30"/>
  <c r="A31"/>
  <c r="A18"/>
  <c r="A19"/>
  <c r="A20"/>
  <c r="A21"/>
  <c r="A22"/>
  <c r="A23"/>
  <c r="A24"/>
  <c r="A25"/>
  <c r="A26"/>
  <c r="A27"/>
  <c r="A28"/>
  <c r="A29"/>
  <c r="H8" i="9" l="1"/>
  <c r="T8" s="1"/>
  <c r="F8"/>
  <c r="J8"/>
  <c r="I8" s="1"/>
  <c r="G8"/>
  <c r="L29" i="10"/>
  <c r="M24"/>
  <c r="N26"/>
  <c r="K29"/>
  <c r="M27"/>
  <c r="L27"/>
  <c r="N28"/>
  <c r="K27"/>
  <c r="M26"/>
  <c r="AP9" i="17"/>
  <c r="AP8"/>
  <c r="AN9"/>
  <c r="AO9" s="1"/>
  <c r="AM9"/>
  <c r="AL9"/>
  <c r="AN11"/>
  <c r="AO11" s="1"/>
  <c r="AM11"/>
  <c r="AL11"/>
  <c r="AM12"/>
  <c r="AN12"/>
  <c r="AO12" s="1"/>
  <c r="AL12"/>
  <c r="AM14"/>
  <c r="AN14"/>
  <c r="AO14" s="1"/>
  <c r="AL14"/>
  <c r="AM16"/>
  <c r="AL16"/>
  <c r="AN16"/>
  <c r="AO16" s="1"/>
  <c r="AM18"/>
  <c r="AN18"/>
  <c r="AO18" s="1"/>
  <c r="AL18"/>
  <c r="AM20"/>
  <c r="AL20"/>
  <c r="AN20"/>
  <c r="AO20" s="1"/>
  <c r="AN7"/>
  <c r="AO7" s="1"/>
  <c r="AL7"/>
  <c r="AM7"/>
  <c r="AP7"/>
  <c r="AP28" s="1"/>
  <c r="AN13"/>
  <c r="AO13" s="1"/>
  <c r="AL13"/>
  <c r="AM13"/>
  <c r="AN15"/>
  <c r="AO15" s="1"/>
  <c r="AM15"/>
  <c r="AL15"/>
  <c r="AN17"/>
  <c r="AO17" s="1"/>
  <c r="AM17"/>
  <c r="AL17"/>
  <c r="AN19"/>
  <c r="AO19" s="1"/>
  <c r="AM19"/>
  <c r="AL19"/>
  <c r="AN21"/>
  <c r="AO21" s="1"/>
  <c r="AM21"/>
  <c r="AL21"/>
  <c r="N21" i="10"/>
  <c r="K22"/>
  <c r="N22"/>
  <c r="L21"/>
  <c r="K21"/>
  <c r="M21"/>
  <c r="M18"/>
  <c r="K18"/>
  <c r="M20"/>
  <c r="K20"/>
  <c r="M19"/>
  <c r="K19"/>
  <c r="J41" i="1"/>
  <c r="N19" i="10"/>
  <c r="L19"/>
  <c r="N18"/>
  <c r="L18"/>
  <c r="N20"/>
  <c r="L20"/>
  <c r="K17"/>
  <c r="M17"/>
  <c r="N17"/>
  <c r="L17"/>
  <c r="A17"/>
  <c r="A17" i="2"/>
  <c r="F3" i="5"/>
  <c r="A10" i="7"/>
  <c r="A10" i="5"/>
  <c r="E2" i="9"/>
  <c r="C2"/>
  <c r="E4" i="4"/>
  <c r="B4"/>
  <c r="E2" i="7"/>
  <c r="B2"/>
  <c r="B3" i="5"/>
  <c r="F5" i="3"/>
  <c r="B5"/>
  <c r="B16"/>
  <c r="B17"/>
  <c r="B18"/>
  <c r="B19"/>
  <c r="B20"/>
  <c r="B21"/>
  <c r="B22"/>
  <c r="B23"/>
  <c r="B24"/>
  <c r="A11"/>
  <c r="A12"/>
  <c r="A13"/>
  <c r="A14"/>
  <c r="A15"/>
  <c r="A16"/>
  <c r="A17"/>
  <c r="A18"/>
  <c r="A19"/>
  <c r="A20"/>
  <c r="A21"/>
  <c r="A22"/>
  <c r="A23"/>
  <c r="A24"/>
  <c r="K8" i="9" l="1"/>
  <c r="P8" s="1"/>
  <c r="R8"/>
  <c r="M8"/>
  <c r="L8"/>
  <c r="AM8" i="17"/>
  <c r="AL8"/>
  <c r="AN8"/>
  <c r="AO8" s="1"/>
  <c r="AO28" s="1"/>
  <c r="D35" i="10"/>
  <c r="J40" i="1" s="1"/>
  <c r="D33" i="10"/>
  <c r="N8" i="9"/>
  <c r="B8"/>
  <c r="A10" i="3"/>
  <c r="S8" i="9" l="1"/>
  <c r="U8"/>
  <c r="Q8"/>
  <c r="Q11" i="7"/>
  <c r="Q12"/>
  <c r="Q13"/>
  <c r="Q14"/>
  <c r="Q15"/>
  <c r="Q16"/>
  <c r="Q17"/>
  <c r="Q18"/>
  <c r="Q19"/>
  <c r="Q20"/>
  <c r="Q21"/>
  <c r="Q22"/>
  <c r="Q23"/>
  <c r="Q24"/>
  <c r="O11"/>
  <c r="O12"/>
  <c r="O13"/>
  <c r="O14"/>
  <c r="O15"/>
  <c r="O16"/>
  <c r="O17"/>
  <c r="O18"/>
  <c r="O19"/>
  <c r="O20"/>
  <c r="O21"/>
  <c r="O22"/>
  <c r="O23"/>
  <c r="O24"/>
  <c r="N11"/>
  <c r="N12"/>
  <c r="P12" s="1"/>
  <c r="N13"/>
  <c r="N14"/>
  <c r="N15"/>
  <c r="N16"/>
  <c r="P16" s="1"/>
  <c r="N17"/>
  <c r="N18"/>
  <c r="N19"/>
  <c r="N20"/>
  <c r="P20" s="1"/>
  <c r="N21"/>
  <c r="N22"/>
  <c r="N23"/>
  <c r="N24"/>
  <c r="P24" s="1"/>
  <c r="G10"/>
  <c r="Q10" s="1"/>
  <c r="Q11" i="5"/>
  <c r="Q12"/>
  <c r="Q13"/>
  <c r="Q14"/>
  <c r="Q15"/>
  <c r="Q16"/>
  <c r="Q17"/>
  <c r="Q18"/>
  <c r="Q19"/>
  <c r="Q20"/>
  <c r="Q21"/>
  <c r="Q22"/>
  <c r="Q23"/>
  <c r="Q24"/>
  <c r="O11"/>
  <c r="O12"/>
  <c r="O13"/>
  <c r="O14"/>
  <c r="O15"/>
  <c r="O16"/>
  <c r="O17"/>
  <c r="O18"/>
  <c r="O19"/>
  <c r="O20"/>
  <c r="O21"/>
  <c r="O22"/>
  <c r="O23"/>
  <c r="O24"/>
  <c r="N11"/>
  <c r="N12"/>
  <c r="N13"/>
  <c r="P13" s="1"/>
  <c r="N14"/>
  <c r="N15"/>
  <c r="N16"/>
  <c r="N17"/>
  <c r="P17" s="1"/>
  <c r="N18"/>
  <c r="N19"/>
  <c r="N20"/>
  <c r="N21"/>
  <c r="P21" s="1"/>
  <c r="N22"/>
  <c r="N23"/>
  <c r="N24"/>
  <c r="G10"/>
  <c r="Q10" s="1"/>
  <c r="F11" i="3"/>
  <c r="N11" s="1"/>
  <c r="F12"/>
  <c r="N12" s="1"/>
  <c r="F13"/>
  <c r="N13" s="1"/>
  <c r="F16"/>
  <c r="P16" s="1"/>
  <c r="F17"/>
  <c r="P17" s="1"/>
  <c r="F18"/>
  <c r="N18" s="1"/>
  <c r="F19"/>
  <c r="P19" s="1"/>
  <c r="F20"/>
  <c r="P20" s="1"/>
  <c r="F21"/>
  <c r="P21" s="1"/>
  <c r="F22"/>
  <c r="P22" s="1"/>
  <c r="F23"/>
  <c r="P23" s="1"/>
  <c r="F24"/>
  <c r="M24" s="1"/>
  <c r="P11"/>
  <c r="P12"/>
  <c r="P13"/>
  <c r="P14"/>
  <c r="P15"/>
  <c r="P18"/>
  <c r="N14"/>
  <c r="N15"/>
  <c r="M14"/>
  <c r="M15"/>
  <c r="M17"/>
  <c r="M18"/>
  <c r="M21"/>
  <c r="M22"/>
  <c r="S12" i="4"/>
  <c r="S13"/>
  <c r="S14"/>
  <c r="S15"/>
  <c r="S16"/>
  <c r="S17"/>
  <c r="S18"/>
  <c r="S19"/>
  <c r="S20"/>
  <c r="S21"/>
  <c r="S22"/>
  <c r="S23"/>
  <c r="S24"/>
  <c r="S25"/>
  <c r="Q12"/>
  <c r="Q13"/>
  <c r="Q14"/>
  <c r="Q15"/>
  <c r="Q16"/>
  <c r="Q17"/>
  <c r="Q18"/>
  <c r="Q19"/>
  <c r="Q20"/>
  <c r="Q21"/>
  <c r="Q22"/>
  <c r="Q23"/>
  <c r="Q24"/>
  <c r="Q25"/>
  <c r="P12"/>
  <c r="P13"/>
  <c r="P14"/>
  <c r="P15"/>
  <c r="P16"/>
  <c r="P17"/>
  <c r="P18"/>
  <c r="P19"/>
  <c r="P20"/>
  <c r="P21"/>
  <c r="P22"/>
  <c r="P23"/>
  <c r="P24"/>
  <c r="P25"/>
  <c r="B17"/>
  <c r="B18"/>
  <c r="B19"/>
  <c r="B20"/>
  <c r="B21"/>
  <c r="B22"/>
  <c r="B23"/>
  <c r="B24"/>
  <c r="B25"/>
  <c r="F10" i="3"/>
  <c r="G11" i="4"/>
  <c r="S11" s="1"/>
  <c r="M12" i="3" l="1"/>
  <c r="O12" s="1"/>
  <c r="N22"/>
  <c r="O22" s="1"/>
  <c r="P24" i="5"/>
  <c r="P20"/>
  <c r="P16"/>
  <c r="P12"/>
  <c r="P23" i="7"/>
  <c r="P19"/>
  <c r="P15"/>
  <c r="P11"/>
  <c r="M11" i="3"/>
  <c r="O11" s="1"/>
  <c r="N21"/>
  <c r="N17"/>
  <c r="O17" s="1"/>
  <c r="V8" i="9"/>
  <c r="V23" s="1"/>
  <c r="G26" s="1"/>
  <c r="R22" i="4"/>
  <c r="R18"/>
  <c r="R14"/>
  <c r="O21" i="3"/>
  <c r="O14"/>
  <c r="N24"/>
  <c r="O24" s="1"/>
  <c r="N20"/>
  <c r="N16"/>
  <c r="R25" i="4"/>
  <c r="R21"/>
  <c r="R17"/>
  <c r="R13"/>
  <c r="O18" i="3"/>
  <c r="M13"/>
  <c r="O13" s="1"/>
  <c r="N23"/>
  <c r="N19"/>
  <c r="R24" i="4"/>
  <c r="R20"/>
  <c r="R16"/>
  <c r="R12"/>
  <c r="M20" i="3"/>
  <c r="M16"/>
  <c r="P24"/>
  <c r="P23" i="5"/>
  <c r="P19"/>
  <c r="P15"/>
  <c r="P22" i="7"/>
  <c r="P18"/>
  <c r="P14"/>
  <c r="R23" i="4"/>
  <c r="R19"/>
  <c r="R15"/>
  <c r="M23" i="3"/>
  <c r="M19"/>
  <c r="O15"/>
  <c r="P22" i="5"/>
  <c r="P18"/>
  <c r="P14"/>
  <c r="P21" i="7"/>
  <c r="P17"/>
  <c r="P13"/>
  <c r="P11" i="5"/>
  <c r="Q25" i="7"/>
  <c r="S26" i="4"/>
  <c r="Q25" i="5"/>
  <c r="N10"/>
  <c r="P10" i="3"/>
  <c r="N10"/>
  <c r="M10"/>
  <c r="O10" i="7"/>
  <c r="Q11" i="4"/>
  <c r="O10" i="5"/>
  <c r="O19" i="3" l="1"/>
  <c r="O23"/>
  <c r="O16"/>
  <c r="P25"/>
  <c r="G30" s="1"/>
  <c r="J39" i="1" s="1"/>
  <c r="O20" i="3"/>
  <c r="O10"/>
  <c r="P10" i="5"/>
  <c r="P25" s="1"/>
  <c r="O25" i="3" l="1"/>
  <c r="J38" i="1"/>
  <c r="U11" i="4"/>
  <c r="D17" i="2"/>
  <c r="Y11" i="4"/>
  <c r="Z11"/>
  <c r="I10" i="7"/>
  <c r="N10" s="1"/>
  <c r="P10" s="1"/>
  <c r="P25" s="1"/>
  <c r="J43" i="1" l="1"/>
  <c r="P11" i="4"/>
  <c r="R11" s="1"/>
  <c r="R26" s="1"/>
</calcChain>
</file>

<file path=xl/sharedStrings.xml><?xml version="1.0" encoding="utf-8"?>
<sst xmlns="http://schemas.openxmlformats.org/spreadsheetml/2006/main" count="737" uniqueCount="354">
  <si>
    <t>с</t>
  </si>
  <si>
    <t>кол-во</t>
  </si>
  <si>
    <t>Кол-во</t>
  </si>
  <si>
    <t>k</t>
  </si>
  <si>
    <t>Ширина</t>
  </si>
  <si>
    <t>Толщина</t>
  </si>
  <si>
    <t>Упор нижний</t>
  </si>
  <si>
    <t>Высота</t>
  </si>
  <si>
    <t>Заказ</t>
  </si>
  <si>
    <t>Упор вертикальный</t>
  </si>
  <si>
    <t>резка</t>
  </si>
  <si>
    <t>углоруб</t>
  </si>
  <si>
    <t>итого</t>
  </si>
  <si>
    <t>Гибка</t>
  </si>
  <si>
    <t>Номер чертежа</t>
  </si>
  <si>
    <t>Угол</t>
  </si>
  <si>
    <t>длина выруба</t>
  </si>
  <si>
    <t>ширина выруба</t>
  </si>
  <si>
    <t>Длина</t>
  </si>
  <si>
    <t xml:space="preserve">Длина      </t>
  </si>
  <si>
    <t>В1</t>
  </si>
  <si>
    <t>Наименование детали</t>
  </si>
  <si>
    <t xml:space="preserve"> L</t>
  </si>
  <si>
    <t>L</t>
  </si>
  <si>
    <t>сетка</t>
  </si>
  <si>
    <t>Монтажная рама</t>
  </si>
  <si>
    <t>Решетка декоративная</t>
  </si>
  <si>
    <t>КПД</t>
  </si>
  <si>
    <t>Стенка гор-ная</t>
  </si>
  <si>
    <t>Кол-во лопаток</t>
  </si>
  <si>
    <t>Кол-во углов В</t>
  </si>
  <si>
    <t>Кол-во углов А</t>
  </si>
  <si>
    <t>L - лопатки</t>
  </si>
  <si>
    <t>Лопатка (шт / 1)</t>
  </si>
  <si>
    <t>Угол (В)</t>
  </si>
  <si>
    <t>Угол (А)</t>
  </si>
  <si>
    <t>В (высота)</t>
  </si>
  <si>
    <t>А (ширина)</t>
  </si>
  <si>
    <t>№ заказа</t>
  </si>
  <si>
    <t>Р25</t>
  </si>
  <si>
    <t>Рубка</t>
  </si>
  <si>
    <t>выполнил</t>
  </si>
  <si>
    <t>___________________</t>
  </si>
  <si>
    <t>н.ч</t>
  </si>
  <si>
    <t>____________________</t>
  </si>
  <si>
    <t>_________________</t>
  </si>
  <si>
    <t xml:space="preserve">Резка </t>
  </si>
  <si>
    <t>_________</t>
  </si>
  <si>
    <t>нал реш</t>
  </si>
  <si>
    <t>Сопроводительный лист</t>
  </si>
  <si>
    <t>монтажная рама</t>
  </si>
  <si>
    <t>нал сетки</t>
  </si>
  <si>
    <t>нал мрз</t>
  </si>
  <si>
    <t>нал мрп</t>
  </si>
  <si>
    <t>общее</t>
  </si>
  <si>
    <t>Стенка верт</t>
  </si>
  <si>
    <t>на стенки</t>
  </si>
  <si>
    <t>Сопроводительный лист  №</t>
  </si>
  <si>
    <t xml:space="preserve"> на монтажную раму</t>
  </si>
  <si>
    <t>Стенка  М.Р. гор-ая</t>
  </si>
  <si>
    <t>Сопроводительный лист №</t>
  </si>
  <si>
    <t>Талон для отрыва диспетчеру</t>
  </si>
  <si>
    <t>Задание выполнено полностью</t>
  </si>
  <si>
    <t>Гибка        _________________</t>
  </si>
  <si>
    <t>Мастер     _________________</t>
  </si>
  <si>
    <t>Резка</t>
  </si>
  <si>
    <t>Размер А</t>
  </si>
  <si>
    <t>Размер В</t>
  </si>
  <si>
    <t>Вырубка</t>
  </si>
  <si>
    <t>______________</t>
  </si>
  <si>
    <t>Сопроводительная №</t>
  </si>
  <si>
    <t>На резку декоративной рамки</t>
  </si>
  <si>
    <t>На изготовление корпусов</t>
  </si>
  <si>
    <t>на изготовление монтажной рамы</t>
  </si>
  <si>
    <t>на изготовление сетки</t>
  </si>
  <si>
    <t>на изготовление упора</t>
  </si>
  <si>
    <t>Обозначение</t>
  </si>
  <si>
    <t>-</t>
  </si>
  <si>
    <t>Вид монтажной рамы</t>
  </si>
  <si>
    <t>Кол-во рубов м.р. гор-ой</t>
  </si>
  <si>
    <t>Кол-во рубов м.р. верт-ой</t>
  </si>
  <si>
    <t>Кол-во рубов стенок верт</t>
  </si>
  <si>
    <t>Кол-во рубов стенок гор</t>
  </si>
  <si>
    <t>гибка уп</t>
  </si>
  <si>
    <t>Размер к для 4-0,3-1 фл</t>
  </si>
  <si>
    <t>Размер к для 4-0,3-2 фл</t>
  </si>
  <si>
    <t>Размер к для 4-0,1-1 фл</t>
  </si>
  <si>
    <t>Размер к для 4-0,1-2 фл</t>
  </si>
  <si>
    <t>Размер К</t>
  </si>
  <si>
    <t>Гибка корп</t>
  </si>
  <si>
    <t>Гибка мрп</t>
  </si>
  <si>
    <t>Гибка реш жалюз</t>
  </si>
  <si>
    <t>Жалюзийная решетка</t>
  </si>
  <si>
    <t>Р</t>
  </si>
  <si>
    <t>Сетка/Решеткка</t>
  </si>
  <si>
    <t>Число створок</t>
  </si>
  <si>
    <t>Выбор K</t>
  </si>
  <si>
    <t>КПД 4-03-1фл</t>
  </si>
  <si>
    <t>КПД 4-03-2фл</t>
  </si>
  <si>
    <t>КПД 4-01-1фл</t>
  </si>
  <si>
    <t>КПД 4-01-2фл</t>
  </si>
  <si>
    <t>Гибка общ</t>
  </si>
  <si>
    <t>1-900-300-1</t>
  </si>
  <si>
    <t>1-450-400-2</t>
  </si>
  <si>
    <t>1-500-400-1</t>
  </si>
  <si>
    <t>1-500-600-1</t>
  </si>
  <si>
    <t>1-700-400-1</t>
  </si>
  <si>
    <t>1-950-950-1</t>
  </si>
  <si>
    <t>1-1000-700-1</t>
  </si>
  <si>
    <t>1-650-450-1</t>
  </si>
  <si>
    <t>3-600-500-1</t>
  </si>
  <si>
    <t>3-750-600-1</t>
  </si>
  <si>
    <t>3-800-300-1</t>
  </si>
  <si>
    <t>3-800-400-1</t>
  </si>
  <si>
    <t>3-800-600-1</t>
  </si>
  <si>
    <t>3-800-800-1</t>
  </si>
  <si>
    <t>3-400-800-2</t>
  </si>
  <si>
    <t>3-500-600-2</t>
  </si>
  <si>
    <t>3-700-500-2</t>
  </si>
  <si>
    <t>3-800-400-2</t>
  </si>
  <si>
    <t>3-800-500-2</t>
  </si>
  <si>
    <t>3-900-300-2</t>
  </si>
  <si>
    <t>Кол-во выполненных деталей на Trumatic 2000</t>
  </si>
  <si>
    <t>Подпись исполниетля</t>
  </si>
  <si>
    <t>Кол-во выполненных деталей на TruBend</t>
  </si>
  <si>
    <t>____________________(дата)</t>
  </si>
  <si>
    <t xml:space="preserve">Мастер   </t>
  </si>
  <si>
    <t>_______________(дата)</t>
  </si>
  <si>
    <t>______________________(дата)</t>
  </si>
  <si>
    <t>_________________(дата)</t>
  </si>
  <si>
    <t>__________________(дата)</t>
  </si>
  <si>
    <t xml:space="preserve">Участок </t>
  </si>
  <si>
    <t>ВГ 199.00.00.004</t>
  </si>
  <si>
    <t>ВГ 199.00.00.005</t>
  </si>
  <si>
    <t>Упор вертикальный (верхний)</t>
  </si>
  <si>
    <t>ВГ 199.00.00.006</t>
  </si>
  <si>
    <t>Упор вертикальный (нижний)</t>
  </si>
  <si>
    <t>ВГ 199.00.00.007</t>
  </si>
  <si>
    <t>Упор  горизонтальный (нижний)</t>
  </si>
  <si>
    <t>Упор горизонтальный (верхний)</t>
  </si>
  <si>
    <t xml:space="preserve">Гибка лопатки: </t>
  </si>
  <si>
    <t xml:space="preserve">Упор </t>
  </si>
  <si>
    <t>ВГ 199.00.00.007-02</t>
  </si>
  <si>
    <t>ВГ 199.00.00.007-01</t>
  </si>
  <si>
    <t>Гибка корп.</t>
  </si>
  <si>
    <t>Гибка лоп.</t>
  </si>
  <si>
    <t>Участок TRUMPF</t>
  </si>
  <si>
    <t xml:space="preserve">Задание на вырубку  деталей. Trumpf </t>
  </si>
  <si>
    <t>№</t>
  </si>
  <si>
    <t>Заказ №</t>
  </si>
  <si>
    <t>Тип клапана</t>
  </si>
  <si>
    <t>Исполнение</t>
  </si>
  <si>
    <t>Применяемость</t>
  </si>
  <si>
    <t>Материал</t>
  </si>
  <si>
    <t>Кол-во  комплектов</t>
  </si>
  <si>
    <t>А</t>
  </si>
  <si>
    <t>В</t>
  </si>
  <si>
    <t xml:space="preserve">СОПРОВОДИТЕЛЬНЫЙ ЛИСТ №  </t>
  </si>
  <si>
    <t>Задание сформировал (диспетчер) _________________________________________</t>
  </si>
  <si>
    <t>Программы подготовил _______________________________________</t>
  </si>
  <si>
    <t>Исполняемый файл</t>
  </si>
  <si>
    <t>Маш. Время</t>
  </si>
  <si>
    <t>N раз</t>
  </si>
  <si>
    <t>Итого:</t>
  </si>
  <si>
    <t>Оператор</t>
  </si>
  <si>
    <t>(_______________/_____________________)</t>
  </si>
  <si>
    <t>(Исполнитель\Дата)</t>
  </si>
  <si>
    <t>Стенка верт-я</t>
  </si>
  <si>
    <t>Стенка гор-я</t>
  </si>
  <si>
    <t>шт</t>
  </si>
  <si>
    <t xml:space="preserve">Лопатка </t>
  </si>
  <si>
    <t>Сетка/решетка жалюзийная</t>
  </si>
  <si>
    <t>К</t>
  </si>
  <si>
    <t xml:space="preserve">Задание на гибку  деталей. TruBend </t>
  </si>
  <si>
    <t xml:space="preserve">Участок TruBend </t>
  </si>
  <si>
    <t>Операция:</t>
  </si>
  <si>
    <t>Гибка     (___________/______________)</t>
  </si>
  <si>
    <t>норма</t>
  </si>
  <si>
    <t>длина до 2 м</t>
  </si>
  <si>
    <t>длина св 2 м</t>
  </si>
  <si>
    <t>Кол-во гибов</t>
  </si>
  <si>
    <t>толщина металла</t>
  </si>
  <si>
    <t>0,55-1</t>
  </si>
  <si>
    <t>до 2</t>
  </si>
  <si>
    <t>св 2</t>
  </si>
  <si>
    <t>кол-во гибов решетки</t>
  </si>
  <si>
    <t>кол-во жалюзей</t>
  </si>
  <si>
    <t xml:space="preserve">Комплектовочный лист № </t>
  </si>
  <si>
    <t>H</t>
  </si>
  <si>
    <t>Лопатка Гермик</t>
  </si>
  <si>
    <t>СОПРОВОДИТЕЛЬНЫЙ ЛИСТ №</t>
  </si>
  <si>
    <t>Резка н/ч</t>
  </si>
  <si>
    <t>Привод</t>
  </si>
  <si>
    <t>Привод:</t>
  </si>
  <si>
    <t>Belimo</t>
  </si>
  <si>
    <t>Общая длина (L)</t>
  </si>
  <si>
    <t>Количество осей</t>
  </si>
  <si>
    <t>Расположение привода</t>
  </si>
  <si>
    <t>Количество мест________________________________</t>
  </si>
  <si>
    <t xml:space="preserve">Комплектовщик заготовительного участка: </t>
  </si>
  <si>
    <t>Сдал: ________________  Дата_______________</t>
  </si>
  <si>
    <t xml:space="preserve">Комплектовщик сборочного  участка: </t>
  </si>
  <si>
    <t>Задание на абразивно-отрезной станок</t>
  </si>
  <si>
    <t xml:space="preserve">Участок  абразивно-отрезной </t>
  </si>
  <si>
    <t xml:space="preserve">_ _ _ _ _ _ _ _ _ _ _ _ _ _ _ _ _ _ _ _ _ _ _ _ _ _ _ _ _ _ _ _ _ _ _ _ _ _ _ _ _ _ _ _ _ _ _ _ _ _ _ _ _ _ _ _ _ _ _ _ _ _ _ _ _ _ _ _ _ _ _ _ _ _ _ _ _ _ _ _ _ _ _ _ _ _ _ _ _ _ _ _ _ _ _ _ _ _ _ </t>
  </si>
  <si>
    <t>Возвратный талон на изготовление (рамы)</t>
  </si>
  <si>
    <t>Кол-во комплектов:</t>
  </si>
  <si>
    <t>шт.</t>
  </si>
  <si>
    <t>Операция                  (Исполнитель/Дата)</t>
  </si>
  <si>
    <t>Покраска_________(_____________/____________)</t>
  </si>
  <si>
    <t>Мастер сборочного участка____________________</t>
  </si>
  <si>
    <t>Сварка_________(_____________/____________)</t>
  </si>
  <si>
    <t>Гибка_________(_____________/____________)</t>
  </si>
  <si>
    <t>Мастер заготовительного участка____________________</t>
  </si>
  <si>
    <t>Возвратный талон на изготовление (оси)</t>
  </si>
  <si>
    <t>Кол-во осей:</t>
  </si>
  <si>
    <t>Сварка</t>
  </si>
  <si>
    <t>Сварка _________(_____________/____________)</t>
  </si>
  <si>
    <t>Резка _________(_____________/____________)</t>
  </si>
  <si>
    <t>Покраска</t>
  </si>
  <si>
    <t>Чертеж</t>
  </si>
  <si>
    <t>Siemenes</t>
  </si>
  <si>
    <t>Норма</t>
  </si>
  <si>
    <t>Перегородка гор компл</t>
  </si>
  <si>
    <t>Перегородка верт  компл</t>
  </si>
  <si>
    <t>Общая норма</t>
  </si>
  <si>
    <t>Лопатка ВГ 199.00.00.001</t>
  </si>
  <si>
    <t>N1</t>
  </si>
  <si>
    <t>N2</t>
  </si>
  <si>
    <t>Общее количество лопаток</t>
  </si>
  <si>
    <r>
      <t xml:space="preserve">Длина трубы (L1)                                                                                                                                    </t>
    </r>
    <r>
      <rPr>
        <b/>
        <sz val="14"/>
        <color theme="1"/>
        <rFont val="Calibri"/>
        <family val="2"/>
        <charset val="204"/>
        <scheme val="minor"/>
      </rPr>
      <t>Dy=15</t>
    </r>
  </si>
  <si>
    <t>Общее количество решеток</t>
  </si>
  <si>
    <t>Рамка декоративная Р25</t>
  </si>
  <si>
    <t>для КПД, КПУ</t>
  </si>
  <si>
    <t>Итого</t>
  </si>
  <si>
    <t>Лопатка (1 шт)</t>
  </si>
  <si>
    <t>Лопатка (всего)</t>
  </si>
  <si>
    <t>Уголок (А) шт</t>
  </si>
  <si>
    <t>Уголок (B) шт</t>
  </si>
  <si>
    <t>Уголок (А) всего</t>
  </si>
  <si>
    <t>Уголок (В) всего</t>
  </si>
  <si>
    <t>решетка декор. Р25</t>
  </si>
  <si>
    <t>решетка жалюзийная</t>
  </si>
  <si>
    <t>МРЗ</t>
  </si>
  <si>
    <t>МРП</t>
  </si>
  <si>
    <t>Задание на ножницы  деталей. Fasti</t>
  </si>
  <si>
    <t>Участок Fasti</t>
  </si>
  <si>
    <t>количество лопаток, N</t>
  </si>
  <si>
    <t>Диапазон 1ф (количество лопаток)</t>
  </si>
  <si>
    <t>Диапазон 2ф (количество лопаток)</t>
  </si>
  <si>
    <t>Стенки 1 ф</t>
  </si>
  <si>
    <t>Стенка А &lt;150</t>
  </si>
  <si>
    <t>Стенка В &lt;150</t>
  </si>
  <si>
    <t xml:space="preserve">Стенки </t>
  </si>
  <si>
    <t>Стенки &lt; 150 (2 ф)</t>
  </si>
  <si>
    <t>Стенки 2 ф (кратные)</t>
  </si>
  <si>
    <t>2 ф</t>
  </si>
  <si>
    <t>Сечение</t>
  </si>
  <si>
    <t xml:space="preserve">Стенки 1 ф </t>
  </si>
  <si>
    <t>1 ф</t>
  </si>
  <si>
    <t>Стенки клапана</t>
  </si>
  <si>
    <t>ОЦ</t>
  </si>
  <si>
    <t>Кол-во клапанаов</t>
  </si>
  <si>
    <t>L (выруб) 1 ф</t>
  </si>
  <si>
    <t>Полка вертикальная</t>
  </si>
  <si>
    <t>Кронштейн  отв. 15</t>
  </si>
  <si>
    <t>АхВ</t>
  </si>
  <si>
    <t>а1</t>
  </si>
  <si>
    <t>b1</t>
  </si>
  <si>
    <t>Выруб (l1)</t>
  </si>
  <si>
    <t>Индекс</t>
  </si>
  <si>
    <t>Стенка</t>
  </si>
  <si>
    <t>Кол-во  корпусов</t>
  </si>
  <si>
    <t>Лопатка (развертка)</t>
  </si>
  <si>
    <t>Переменная</t>
  </si>
  <si>
    <t>Норма на резку</t>
  </si>
  <si>
    <t>Рубка н/ч</t>
  </si>
  <si>
    <t>Стенка стойки</t>
  </si>
  <si>
    <t xml:space="preserve">Стенка стойки          ТЕКИ 269.04.00.001 </t>
  </si>
  <si>
    <t>L           (развертка)</t>
  </si>
  <si>
    <t>Полка вертикальная          ТЕКИ 272.00.00.111</t>
  </si>
  <si>
    <t>Лопатка (готовое изделие)</t>
  </si>
  <si>
    <t>Кол-во корпусов лопатки  в 1 клапане</t>
  </si>
  <si>
    <t>Переменная для стойки</t>
  </si>
  <si>
    <t>Лопатка (гибка)</t>
  </si>
  <si>
    <t>Кронштейн</t>
  </si>
  <si>
    <t>Гибка общ.</t>
  </si>
  <si>
    <t>Норма  резки на 1 лопатку</t>
  </si>
  <si>
    <t>А х В</t>
  </si>
  <si>
    <t>Количество клапанов</t>
  </si>
  <si>
    <t>ЕСЛИ('Задание на гибку'!Q7&gt;0;'Задание на гибку'!R7;0</t>
  </si>
  <si>
    <t>Корпус</t>
  </si>
  <si>
    <t>Сетка</t>
  </si>
  <si>
    <t>Решетка</t>
  </si>
  <si>
    <t>Количество</t>
  </si>
  <si>
    <t>Решетка жалюзийная</t>
  </si>
  <si>
    <t>Нормы</t>
  </si>
  <si>
    <t>Переходник</t>
  </si>
  <si>
    <t>Наличие сетки, решетки, переходника</t>
  </si>
  <si>
    <t>КПУ 1</t>
  </si>
  <si>
    <t>КПУ 2</t>
  </si>
  <si>
    <t>КПУ 3</t>
  </si>
  <si>
    <t>Холодный корпус</t>
  </si>
  <si>
    <t>ХК</t>
  </si>
  <si>
    <t>Кол-во ХК</t>
  </si>
  <si>
    <t>Принял: ________________  Дата_______________</t>
  </si>
  <si>
    <t>Выруб</t>
  </si>
  <si>
    <t>а</t>
  </si>
  <si>
    <t>а разв</t>
  </si>
  <si>
    <t>выр</t>
  </si>
  <si>
    <t xml:space="preserve">Стенка стойки                           ВГ 199.00.00.006     </t>
  </si>
  <si>
    <t>МРП/МРЗ</t>
  </si>
  <si>
    <t>Кол-во  корпусов лопатки всего</t>
  </si>
  <si>
    <t>D</t>
  </si>
  <si>
    <t>Кол-во  клапанов (шт)</t>
  </si>
  <si>
    <t>ОЦ 1,5</t>
  </si>
  <si>
    <t>Кол-во  корпусов лопатки (шт)</t>
  </si>
  <si>
    <t>ОЦ 0,7</t>
  </si>
  <si>
    <t>МРП/МРЗ       ОЦ 2,0</t>
  </si>
  <si>
    <t>Решетка жалюзийная        ОЦ 1,5</t>
  </si>
  <si>
    <t>Холодный корпус                    ОЦ 1,5</t>
  </si>
  <si>
    <t xml:space="preserve">Стенка стойки                       ВГ 199.00.00.006     </t>
  </si>
  <si>
    <t xml:space="preserve">     L  полки</t>
  </si>
  <si>
    <t>Кронштейн  отв. 15             ОЦ 1,5</t>
  </si>
  <si>
    <t>Переменная для  полки вертикальной</t>
  </si>
  <si>
    <t>Количество полок вертикальных</t>
  </si>
  <si>
    <t>РЖ (количество лопаток)</t>
  </si>
  <si>
    <t>Общее кол-во гибов</t>
  </si>
  <si>
    <t>Лист X*Y</t>
  </si>
  <si>
    <t>Количество лопаток</t>
  </si>
  <si>
    <t>Количество комплектов</t>
  </si>
  <si>
    <t>Норма на маркировку</t>
  </si>
  <si>
    <t>Переменная на МРП</t>
  </si>
  <si>
    <t>Пояснение:</t>
  </si>
  <si>
    <t>1-КПУ 1 без сетки, решетки или переходника</t>
  </si>
  <si>
    <t>2-КПУ 1 с сеткой, решеткой или переходником</t>
  </si>
  <si>
    <t>3-КПУ 2 без сетки, решетки или переходника</t>
  </si>
  <si>
    <t>4-КПУ 2 с сеткой, решеткой или переходником</t>
  </si>
  <si>
    <t>5-КПУ 3</t>
  </si>
  <si>
    <t>Кол-во стенок в ХК</t>
  </si>
  <si>
    <t>Сцепить</t>
  </si>
  <si>
    <t>ХК 1ф, 2ф</t>
  </si>
  <si>
    <t>Переменная для стенок</t>
  </si>
  <si>
    <t>L  кронштейна</t>
  </si>
  <si>
    <t>Количество кронштейнов</t>
  </si>
  <si>
    <t>A</t>
  </si>
  <si>
    <t>B</t>
  </si>
  <si>
    <t>Переменная  2ф</t>
  </si>
  <si>
    <t>Переменная &lt;150</t>
  </si>
  <si>
    <t>Переменная 1ф</t>
  </si>
  <si>
    <t>Переменная А</t>
  </si>
  <si>
    <t>Переменная В</t>
  </si>
  <si>
    <t>L   A&lt;150</t>
  </si>
  <si>
    <t>Общая сумма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</si>
</sst>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#,##0.0"/>
  </numFmts>
  <fonts count="54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4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u/>
      <sz val="26"/>
      <color rgb="FF000000"/>
      <name val="Times New Roman"/>
      <family val="1"/>
      <charset val="204"/>
    </font>
    <font>
      <b/>
      <sz val="7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5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72"/>
      <name val="Arial Cyr"/>
      <charset val="204"/>
    </font>
    <font>
      <b/>
      <u/>
      <sz val="18"/>
      <color rgb="FF000000"/>
      <name val="Times New Roman"/>
      <family val="1"/>
      <charset val="204"/>
    </font>
    <font>
      <b/>
      <sz val="11"/>
      <name val="Arial Cyr"/>
      <charset val="204"/>
    </font>
    <font>
      <b/>
      <sz val="48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28"/>
      <name val="Times New Roman"/>
      <family val="1"/>
      <charset val="204"/>
    </font>
    <font>
      <b/>
      <u/>
      <sz val="18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2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2" fillId="0" borderId="0" xfId="0" applyFont="1" applyBorder="1"/>
    <xf numFmtId="0" fontId="1" fillId="0" borderId="7" xfId="0" applyFont="1" applyBorder="1"/>
    <xf numFmtId="0" fontId="13" fillId="0" borderId="0" xfId="0" applyFont="1"/>
    <xf numFmtId="0" fontId="1" fillId="0" borderId="0" xfId="0" applyFont="1" applyBorder="1"/>
    <xf numFmtId="0" fontId="6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14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0" fillId="2" borderId="0" xfId="0" applyFill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/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" fillId="0" borderId="0" xfId="0" applyFont="1" applyAlignment="1">
      <alignment vertical="justify"/>
    </xf>
    <xf numFmtId="0" fontId="18" fillId="0" borderId="0" xfId="0" applyFont="1" applyAlignment="1">
      <alignment vertical="justify"/>
    </xf>
    <xf numFmtId="0" fontId="18" fillId="0" borderId="0" xfId="0" applyFont="1"/>
    <xf numFmtId="0" fontId="18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21" fillId="4" borderId="14" xfId="0" applyFont="1" applyFill="1" applyBorder="1" applyAlignment="1">
      <alignment horizontal="center" vertical="center" wrapText="1"/>
    </xf>
    <xf numFmtId="0" fontId="12" fillId="0" borderId="22" xfId="0" applyFont="1" applyBorder="1" applyAlignment="1" applyProtection="1">
      <alignment horizontal="center" vertical="center" wrapText="1"/>
      <protection locked="0"/>
    </xf>
    <xf numFmtId="0" fontId="21" fillId="4" borderId="22" xfId="0" applyFont="1" applyFill="1" applyBorder="1" applyAlignment="1">
      <alignment horizontal="center" vertical="center" wrapText="1"/>
    </xf>
    <xf numFmtId="0" fontId="0" fillId="0" borderId="26" xfId="0" applyBorder="1"/>
    <xf numFmtId="0" fontId="22" fillId="4" borderId="4" xfId="0" applyFont="1" applyFill="1" applyBorder="1" applyAlignment="1">
      <alignment vertical="center" wrapText="1"/>
    </xf>
    <xf numFmtId="0" fontId="21" fillId="4" borderId="4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/>
    </xf>
    <xf numFmtId="0" fontId="23" fillId="0" borderId="4" xfId="0" applyFont="1" applyBorder="1" applyAlignment="1">
      <alignment horizontal="center" wrapText="1"/>
    </xf>
    <xf numFmtId="0" fontId="22" fillId="4" borderId="1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22" fillId="4" borderId="22" xfId="0" applyFont="1" applyFill="1" applyBorder="1" applyAlignment="1">
      <alignment vertical="center" wrapText="1"/>
    </xf>
    <xf numFmtId="0" fontId="21" fillId="4" borderId="10" xfId="0" applyFont="1" applyFill="1" applyBorder="1" applyAlignment="1">
      <alignment horizontal="center"/>
    </xf>
    <xf numFmtId="0" fontId="23" fillId="0" borderId="22" xfId="0" applyFont="1" applyBorder="1" applyAlignment="1">
      <alignment horizontal="center" wrapText="1"/>
    </xf>
    <xf numFmtId="0" fontId="23" fillId="0" borderId="23" xfId="0" applyFont="1" applyBorder="1" applyAlignment="1">
      <alignment horizontal="center" wrapText="1"/>
    </xf>
    <xf numFmtId="0" fontId="2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26" fillId="0" borderId="0" xfId="0" applyFont="1"/>
    <xf numFmtId="49" fontId="0" fillId="0" borderId="0" xfId="0" applyNumberFormat="1" applyBorder="1"/>
    <xf numFmtId="0" fontId="18" fillId="0" borderId="0" xfId="0" applyFont="1" applyBorder="1"/>
    <xf numFmtId="0" fontId="27" fillId="0" borderId="0" xfId="0" applyFont="1"/>
    <xf numFmtId="0" fontId="27" fillId="0" borderId="0" xfId="0" applyFont="1" applyBorder="1"/>
    <xf numFmtId="0" fontId="15" fillId="0" borderId="0" xfId="0" applyFont="1" applyBorder="1"/>
    <xf numFmtId="0" fontId="21" fillId="4" borderId="16" xfId="0" applyFont="1" applyFill="1" applyBorder="1" applyAlignment="1">
      <alignment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/>
    </xf>
    <xf numFmtId="0" fontId="23" fillId="4" borderId="35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center" vertical="center"/>
    </xf>
    <xf numFmtId="0" fontId="21" fillId="4" borderId="34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5" xfId="0" applyBorder="1"/>
    <xf numFmtId="0" fontId="11" fillId="0" borderId="2" xfId="0" applyFont="1" applyBorder="1"/>
    <xf numFmtId="0" fontId="27" fillId="0" borderId="0" xfId="0" applyFont="1" applyBorder="1" applyAlignment="1">
      <alignment horizontal="center"/>
    </xf>
    <xf numFmtId="0" fontId="12" fillId="0" borderId="0" xfId="0" applyFont="1" applyBorder="1"/>
    <xf numFmtId="0" fontId="21" fillId="4" borderId="17" xfId="0" applyFont="1" applyFill="1" applyBorder="1" applyAlignment="1">
      <alignment vertical="center" wrapText="1"/>
    </xf>
    <xf numFmtId="0" fontId="0" fillId="0" borderId="12" xfId="0" applyBorder="1"/>
    <xf numFmtId="0" fontId="0" fillId="0" borderId="20" xfId="0" applyBorder="1"/>
    <xf numFmtId="0" fontId="0" fillId="0" borderId="8" xfId="0" applyBorder="1"/>
    <xf numFmtId="0" fontId="0" fillId="0" borderId="42" xfId="0" applyBorder="1"/>
    <xf numFmtId="0" fontId="0" fillId="0" borderId="32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0" fillId="0" borderId="4" xfId="0" applyBorder="1"/>
    <xf numFmtId="0" fontId="28" fillId="4" borderId="34" xfId="0" applyFont="1" applyFill="1" applyBorder="1" applyAlignment="1">
      <alignment horizontal="center" vertical="center" wrapText="1"/>
    </xf>
    <xf numFmtId="0" fontId="28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9" fillId="0" borderId="0" xfId="0" applyFont="1"/>
    <xf numFmtId="0" fontId="0" fillId="0" borderId="43" xfId="0" applyBorder="1"/>
    <xf numFmtId="0" fontId="19" fillId="0" borderId="0" xfId="0" applyFont="1" applyBorder="1" applyAlignment="1"/>
    <xf numFmtId="2" fontId="11" fillId="0" borderId="0" xfId="0" applyNumberFormat="1" applyFont="1" applyBorder="1"/>
    <xf numFmtId="0" fontId="11" fillId="0" borderId="0" xfId="0" applyFont="1" applyBorder="1"/>
    <xf numFmtId="0" fontId="0" fillId="3" borderId="0" xfId="0" applyFill="1" applyBorder="1"/>
    <xf numFmtId="0" fontId="0" fillId="0" borderId="5" xfId="0" applyBorder="1"/>
    <xf numFmtId="0" fontId="0" fillId="0" borderId="44" xfId="0" applyBorder="1"/>
    <xf numFmtId="0" fontId="0" fillId="0" borderId="11" xfId="0" applyBorder="1"/>
    <xf numFmtId="0" fontId="0" fillId="0" borderId="44" xfId="0" applyBorder="1" applyAlignment="1">
      <alignment horizontal="center" vertical="center" textRotation="90" wrapText="1"/>
    </xf>
    <xf numFmtId="0" fontId="5" fillId="0" borderId="0" xfId="0" applyFont="1" applyAlignment="1"/>
    <xf numFmtId="0" fontId="0" fillId="0" borderId="13" xfId="0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3" borderId="14" xfId="0" applyFont="1" applyFill="1" applyBorder="1"/>
    <xf numFmtId="0" fontId="11" fillId="3" borderId="30" xfId="0" applyFont="1" applyFill="1" applyBorder="1"/>
    <xf numFmtId="0" fontId="0" fillId="0" borderId="26" xfId="0" applyBorder="1" applyAlignment="1">
      <alignment horizontal="center" vertical="center"/>
    </xf>
    <xf numFmtId="0" fontId="11" fillId="3" borderId="1" xfId="0" applyFont="1" applyFill="1" applyBorder="1"/>
    <xf numFmtId="0" fontId="11" fillId="3" borderId="27" xfId="0" applyFont="1" applyFill="1" applyBorder="1"/>
    <xf numFmtId="0" fontId="0" fillId="0" borderId="11" xfId="0" applyBorder="1" applyAlignment="1">
      <alignment vertical="center" textRotation="90" wrapText="1"/>
    </xf>
    <xf numFmtId="0" fontId="32" fillId="0" borderId="0" xfId="0" applyFont="1" applyBorder="1" applyAlignment="1">
      <alignment textRotation="90"/>
    </xf>
    <xf numFmtId="0" fontId="0" fillId="0" borderId="0" xfId="0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3" borderId="38" xfId="0" applyFill="1" applyBorder="1"/>
    <xf numFmtId="164" fontId="11" fillId="0" borderId="2" xfId="0" applyNumberFormat="1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4" fillId="0" borderId="0" xfId="0" applyFont="1"/>
    <xf numFmtId="0" fontId="35" fillId="0" borderId="0" xfId="0" applyFont="1" applyBorder="1"/>
    <xf numFmtId="0" fontId="36" fillId="0" borderId="0" xfId="0" applyFont="1" applyBorder="1"/>
    <xf numFmtId="0" fontId="37" fillId="0" borderId="0" xfId="0" applyFont="1" applyBorder="1"/>
    <xf numFmtId="0" fontId="36" fillId="0" borderId="0" xfId="0" applyFont="1"/>
    <xf numFmtId="0" fontId="39" fillId="0" borderId="0" xfId="0" applyFont="1" applyBorder="1"/>
    <xf numFmtId="0" fontId="39" fillId="0" borderId="0" xfId="0" applyFont="1"/>
    <xf numFmtId="0" fontId="40" fillId="0" borderId="0" xfId="0" applyFont="1" applyAlignment="1">
      <alignment vertical="center" textRotation="90"/>
    </xf>
    <xf numFmtId="0" fontId="41" fillId="0" borderId="0" xfId="0" applyFont="1" applyAlignment="1">
      <alignment horizontal="center"/>
    </xf>
    <xf numFmtId="0" fontId="42" fillId="0" borderId="0" xfId="0" applyFont="1"/>
    <xf numFmtId="0" fontId="35" fillId="0" borderId="0" xfId="0" applyFont="1"/>
    <xf numFmtId="0" fontId="30" fillId="0" borderId="11" xfId="0" applyFont="1" applyBorder="1" applyAlignment="1">
      <alignment vertical="center" textRotation="90"/>
    </xf>
    <xf numFmtId="0" fontId="30" fillId="0" borderId="0" xfId="0" applyFont="1" applyBorder="1" applyAlignment="1">
      <alignment vertical="center" textRotation="90"/>
    </xf>
    <xf numFmtId="0" fontId="43" fillId="0" borderId="11" xfId="0" applyFont="1" applyBorder="1" applyAlignment="1">
      <alignment vertical="center" textRotation="90" wrapText="1"/>
    </xf>
    <xf numFmtId="0" fontId="43" fillId="0" borderId="0" xfId="0" applyFont="1"/>
    <xf numFmtId="0" fontId="44" fillId="0" borderId="11" xfId="0" applyFont="1" applyBorder="1" applyAlignment="1">
      <alignment textRotation="90"/>
    </xf>
    <xf numFmtId="2" fontId="25" fillId="0" borderId="2" xfId="0" applyNumberFormat="1" applyFont="1" applyBorder="1"/>
    <xf numFmtId="0" fontId="45" fillId="0" borderId="0" xfId="0" applyFont="1"/>
    <xf numFmtId="0" fontId="0" fillId="0" borderId="48" xfId="0" applyBorder="1"/>
    <xf numFmtId="0" fontId="34" fillId="0" borderId="48" xfId="0" applyFont="1" applyBorder="1"/>
    <xf numFmtId="0" fontId="35" fillId="0" borderId="48" xfId="0" applyFont="1" applyBorder="1"/>
    <xf numFmtId="0" fontId="36" fillId="0" borderId="48" xfId="0" applyFont="1" applyBorder="1"/>
    <xf numFmtId="0" fontId="37" fillId="0" borderId="48" xfId="0" applyFont="1" applyBorder="1"/>
    <xf numFmtId="0" fontId="0" fillId="0" borderId="48" xfId="0" applyBorder="1" applyAlignment="1">
      <alignment horizontal="center"/>
    </xf>
    <xf numFmtId="0" fontId="15" fillId="4" borderId="49" xfId="0" applyFont="1" applyFill="1" applyBorder="1" applyAlignment="1">
      <alignment horizontal="center" vertical="center" wrapText="1"/>
    </xf>
    <xf numFmtId="0" fontId="0" fillId="4" borderId="1" xfId="0" applyFill="1" applyBorder="1"/>
    <xf numFmtId="1" fontId="0" fillId="0" borderId="0" xfId="0" applyNumberFormat="1"/>
    <xf numFmtId="0" fontId="1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8" xfId="0" applyFont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/>
    </xf>
    <xf numFmtId="0" fontId="6" fillId="0" borderId="4" xfId="0" applyFont="1" applyBorder="1"/>
    <xf numFmtId="0" fontId="6" fillId="2" borderId="28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textRotation="90" wrapText="1"/>
    </xf>
    <xf numFmtId="0" fontId="29" fillId="0" borderId="0" xfId="0" applyFont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12" fillId="4" borderId="22" xfId="0" applyFont="1" applyFill="1" applyBorder="1" applyAlignment="1" applyProtection="1">
      <alignment horizontal="center" vertical="center" wrapText="1"/>
      <protection locked="0"/>
    </xf>
    <xf numFmtId="0" fontId="0" fillId="0" borderId="34" xfId="0" applyBorder="1"/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0" fontId="0" fillId="6" borderId="1" xfId="0" applyFill="1" applyBorder="1"/>
    <xf numFmtId="0" fontId="12" fillId="0" borderId="1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0" xfId="0" applyFont="1"/>
    <xf numFmtId="4" fontId="11" fillId="0" borderId="2" xfId="0" applyNumberFormat="1" applyFont="1" applyBorder="1"/>
    <xf numFmtId="0" fontId="23" fillId="0" borderId="10" xfId="0" applyFont="1" applyBorder="1" applyAlignment="1">
      <alignment horizontal="center" wrapText="1"/>
    </xf>
    <xf numFmtId="0" fontId="23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1" fillId="4" borderId="22" xfId="0" applyFont="1" applyFill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 textRotation="90" wrapText="1"/>
      <protection locked="0"/>
    </xf>
    <xf numFmtId="0" fontId="12" fillId="0" borderId="22" xfId="0" applyFont="1" applyBorder="1" applyAlignment="1" applyProtection="1">
      <alignment horizontal="center" vertical="center" textRotation="90" wrapText="1"/>
      <protection locked="0"/>
    </xf>
    <xf numFmtId="0" fontId="15" fillId="4" borderId="22" xfId="0" applyFont="1" applyFill="1" applyBorder="1" applyAlignment="1">
      <alignment horizontal="center" vertical="center" wrapText="1"/>
    </xf>
    <xf numFmtId="0" fontId="48" fillId="4" borderId="22" xfId="0" applyFont="1" applyFill="1" applyBorder="1" applyAlignment="1">
      <alignment horizontal="center" vertical="center" wrapText="1"/>
    </xf>
    <xf numFmtId="0" fontId="25" fillId="0" borderId="0" xfId="0" applyFont="1" applyBorder="1" applyAlignment="1"/>
    <xf numFmtId="0" fontId="5" fillId="0" borderId="0" xfId="0" applyFont="1" applyBorder="1" applyAlignment="1"/>
    <xf numFmtId="0" fontId="23" fillId="4" borderId="53" xfId="0" applyFont="1" applyFill="1" applyBorder="1" applyAlignment="1">
      <alignment horizontal="center" vertical="center"/>
    </xf>
    <xf numFmtId="0" fontId="23" fillId="0" borderId="28" xfId="0" applyFont="1" applyBorder="1"/>
    <xf numFmtId="2" fontId="49" fillId="0" borderId="28" xfId="0" applyNumberFormat="1" applyFont="1" applyBorder="1"/>
    <xf numFmtId="0" fontId="50" fillId="0" borderId="0" xfId="0" applyFont="1"/>
    <xf numFmtId="0" fontId="5" fillId="4" borderId="4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/>
    <xf numFmtId="0" fontId="0" fillId="0" borderId="30" xfId="0" applyBorder="1"/>
    <xf numFmtId="0" fontId="1" fillId="0" borderId="5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0" xfId="0" applyBorder="1"/>
    <xf numFmtId="0" fontId="0" fillId="0" borderId="50" xfId="0" applyBorder="1" applyAlignment="1">
      <alignment horizontal="center"/>
    </xf>
    <xf numFmtId="0" fontId="1" fillId="0" borderId="50" xfId="0" applyFont="1" applyBorder="1"/>
    <xf numFmtId="0" fontId="0" fillId="0" borderId="52" xfId="0" applyBorder="1"/>
    <xf numFmtId="0" fontId="0" fillId="2" borderId="51" xfId="0" applyFill="1" applyBorder="1" applyAlignment="1">
      <alignment horizontal="center" vertical="center" textRotation="90" wrapText="1"/>
    </xf>
    <xf numFmtId="0" fontId="0" fillId="0" borderId="41" xfId="0" applyBorder="1"/>
    <xf numFmtId="0" fontId="0" fillId="5" borderId="50" xfId="0" applyFill="1" applyBorder="1" applyAlignment="1">
      <alignment horizontal="center" vertical="center" textRotation="90" wrapText="1"/>
    </xf>
    <xf numFmtId="0" fontId="0" fillId="5" borderId="52" xfId="0" applyFill="1" applyBorder="1" applyAlignment="1">
      <alignment horizontal="center" vertical="center" textRotation="90" wrapText="1"/>
    </xf>
    <xf numFmtId="0" fontId="0" fillId="0" borderId="13" xfId="0" applyBorder="1"/>
    <xf numFmtId="0" fontId="0" fillId="2" borderId="50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30" xfId="0" applyNumberFormat="1" applyFont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6" fillId="0" borderId="30" xfId="0" applyFont="1" applyBorder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/>
    <xf numFmtId="0" fontId="6" fillId="0" borderId="23" xfId="0" applyFont="1" applyBorder="1"/>
    <xf numFmtId="0" fontId="6" fillId="0" borderId="55" xfId="0" applyFont="1" applyBorder="1"/>
    <xf numFmtId="0" fontId="48" fillId="3" borderId="22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vertical="center"/>
    </xf>
    <xf numFmtId="0" fontId="0" fillId="4" borderId="22" xfId="0" applyFill="1" applyBorder="1"/>
    <xf numFmtId="0" fontId="0" fillId="2" borderId="22" xfId="0" applyFill="1" applyBorder="1" applyAlignment="1">
      <alignment horizontal="center"/>
    </xf>
    <xf numFmtId="0" fontId="0" fillId="6" borderId="22" xfId="0" applyFill="1" applyBorder="1"/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 wrapText="1"/>
    </xf>
    <xf numFmtId="0" fontId="0" fillId="0" borderId="3" xfId="0" applyBorder="1"/>
    <xf numFmtId="0" fontId="0" fillId="6" borderId="28" xfId="0" applyFill="1" applyBorder="1"/>
    <xf numFmtId="0" fontId="23" fillId="4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0" fillId="0" borderId="1" xfId="0" applyNumberFormat="1" applyBorder="1"/>
    <xf numFmtId="0" fontId="23" fillId="0" borderId="31" xfId="0" applyFont="1" applyBorder="1" applyAlignment="1">
      <alignment horizontal="center" wrapText="1"/>
    </xf>
    <xf numFmtId="0" fontId="21" fillId="3" borderId="10" xfId="0" applyFont="1" applyFill="1" applyBorder="1" applyAlignment="1">
      <alignment horizontal="center" vertical="center"/>
    </xf>
    <xf numFmtId="0" fontId="0" fillId="0" borderId="9" xfId="0" applyBorder="1"/>
    <xf numFmtId="0" fontId="0" fillId="0" borderId="54" xfId="0" applyBorder="1"/>
    <xf numFmtId="0" fontId="0" fillId="5" borderId="28" xfId="0" applyFill="1" applyBorder="1"/>
    <xf numFmtId="0" fontId="0" fillId="0" borderId="57" xfId="0" applyBorder="1"/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/>
    <xf numFmtId="0" fontId="15" fillId="2" borderId="52" xfId="0" applyFont="1" applyFill="1" applyBorder="1" applyAlignment="1">
      <alignment horizontal="center" vertical="center" textRotation="90" wrapText="1"/>
    </xf>
    <xf numFmtId="0" fontId="0" fillId="2" borderId="52" xfId="0" applyFill="1" applyBorder="1" applyAlignment="1">
      <alignment horizontal="center" vertical="center" textRotation="90"/>
    </xf>
    <xf numFmtId="0" fontId="0" fillId="4" borderId="59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3" fillId="3" borderId="0" xfId="0" applyFont="1" applyFill="1" applyBorder="1"/>
    <xf numFmtId="0" fontId="0" fillId="0" borderId="14" xfId="0" applyBorder="1" applyAlignment="1"/>
    <xf numFmtId="1" fontId="0" fillId="0" borderId="14" xfId="0" applyNumberFormat="1" applyBorder="1"/>
    <xf numFmtId="0" fontId="0" fillId="0" borderId="22" xfId="0" applyBorder="1" applyAlignment="1"/>
    <xf numFmtId="1" fontId="0" fillId="0" borderId="22" xfId="0" applyNumberFormat="1" applyBorder="1"/>
    <xf numFmtId="0" fontId="23" fillId="0" borderId="3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12" fillId="0" borderId="22" xfId="0" applyFont="1" applyBorder="1" applyAlignment="1" applyProtection="1">
      <alignment horizontal="center" vertical="center" wrapText="1"/>
      <protection locked="0"/>
    </xf>
    <xf numFmtId="0" fontId="21" fillId="4" borderId="14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23" fillId="0" borderId="0" xfId="0" applyFont="1" applyBorder="1"/>
    <xf numFmtId="2" fontId="0" fillId="0" borderId="14" xfId="0" applyNumberFormat="1" applyBorder="1"/>
    <xf numFmtId="2" fontId="0" fillId="5" borderId="18" xfId="0" applyNumberFormat="1" applyFill="1" applyBorder="1"/>
    <xf numFmtId="2" fontId="23" fillId="0" borderId="28" xfId="0" applyNumberFormat="1" applyFont="1" applyBorder="1"/>
    <xf numFmtId="0" fontId="0" fillId="2" borderId="28" xfId="0" applyFill="1" applyBorder="1"/>
    <xf numFmtId="0" fontId="0" fillId="0" borderId="22" xfId="0" applyBorder="1" applyAlignment="1">
      <alignment horizontal="center"/>
    </xf>
    <xf numFmtId="0" fontId="15" fillId="4" borderId="25" xfId="0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22" xfId="0" applyNumberFormat="1" applyBorder="1"/>
    <xf numFmtId="0" fontId="0" fillId="0" borderId="6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12" fillId="0" borderId="22" xfId="0" applyFont="1" applyBorder="1" applyAlignment="1" applyProtection="1">
      <alignment horizontal="center" vertical="center" wrapText="1"/>
      <protection locked="0"/>
    </xf>
    <xf numFmtId="0" fontId="21" fillId="3" borderId="14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5" fillId="3" borderId="22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12" fillId="3" borderId="14" xfId="0" applyFont="1" applyFill="1" applyBorder="1" applyAlignment="1">
      <alignment horizontal="center" vertical="center"/>
    </xf>
    <xf numFmtId="0" fontId="12" fillId="3" borderId="14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21" xfId="0" applyFill="1" applyBorder="1"/>
    <xf numFmtId="0" fontId="12" fillId="3" borderId="22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  <protection locked="0"/>
    </xf>
    <xf numFmtId="0" fontId="12" fillId="6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1" fillId="3" borderId="14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51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8" fillId="3" borderId="22" xfId="0" applyFont="1" applyFill="1" applyBorder="1" applyAlignment="1">
      <alignment horizontal="center" vertical="center"/>
    </xf>
    <xf numFmtId="0" fontId="23" fillId="0" borderId="66" xfId="0" applyFont="1" applyBorder="1"/>
    <xf numFmtId="2" fontId="5" fillId="0" borderId="0" xfId="0" applyNumberFormat="1" applyFont="1" applyBorder="1" applyAlignment="1"/>
    <xf numFmtId="0" fontId="51" fillId="4" borderId="1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left" vertical="center"/>
    </xf>
    <xf numFmtId="0" fontId="21" fillId="4" borderId="22" xfId="0" applyFont="1" applyFill="1" applyBorder="1" applyAlignment="1">
      <alignment horizontal="left" vertical="center"/>
    </xf>
    <xf numFmtId="0" fontId="51" fillId="4" borderId="14" xfId="0" applyFont="1" applyFill="1" applyBorder="1" applyAlignment="1">
      <alignment horizontal="left" vertical="center"/>
    </xf>
    <xf numFmtId="0" fontId="51" fillId="4" borderId="14" xfId="0" applyFont="1" applyFill="1" applyBorder="1" applyAlignment="1">
      <alignment horizontal="left" vertical="center" wrapText="1"/>
    </xf>
    <xf numFmtId="0" fontId="51" fillId="4" borderId="30" xfId="0" applyFont="1" applyFill="1" applyBorder="1" applyAlignment="1">
      <alignment horizontal="left" vertical="center" wrapText="1"/>
    </xf>
    <xf numFmtId="0" fontId="51" fillId="4" borderId="1" xfId="0" applyFont="1" applyFill="1" applyBorder="1" applyAlignment="1">
      <alignment horizontal="left" vertical="center"/>
    </xf>
    <xf numFmtId="0" fontId="51" fillId="4" borderId="1" xfId="0" applyFont="1" applyFill="1" applyBorder="1" applyAlignment="1">
      <alignment horizontal="left" vertical="center" wrapText="1"/>
    </xf>
    <xf numFmtId="0" fontId="51" fillId="4" borderId="22" xfId="0" applyFont="1" applyFill="1" applyBorder="1" applyAlignment="1">
      <alignment horizontal="left" vertical="center"/>
    </xf>
    <xf numFmtId="0" fontId="51" fillId="4" borderId="22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1" fontId="11" fillId="4" borderId="14" xfId="0" applyNumberFormat="1" applyFont="1" applyFill="1" applyBorder="1" applyAlignment="1">
      <alignment horizontal="left" vertical="center" wrapText="1"/>
    </xf>
    <xf numFmtId="1" fontId="11" fillId="4" borderId="14" xfId="0" applyNumberFormat="1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23" fillId="4" borderId="14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22" xfId="0" applyFont="1" applyFill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1" fillId="0" borderId="14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13" xfId="0" applyFont="1" applyBorder="1"/>
    <xf numFmtId="0" fontId="21" fillId="0" borderId="26" xfId="0" applyFont="1" applyBorder="1"/>
    <xf numFmtId="0" fontId="21" fillId="0" borderId="21" xfId="0" applyFont="1" applyBorder="1"/>
    <xf numFmtId="0" fontId="51" fillId="3" borderId="14" xfId="0" applyFont="1" applyFill="1" applyBorder="1" applyAlignment="1">
      <alignment horizontal="left" vertical="center" wrapText="1"/>
    </xf>
    <xf numFmtId="0" fontId="51" fillId="3" borderId="14" xfId="0" applyFont="1" applyFill="1" applyBorder="1" applyAlignment="1">
      <alignment horizontal="left" vertical="center"/>
    </xf>
    <xf numFmtId="0" fontId="51" fillId="3" borderId="1" xfId="0" applyFont="1" applyFill="1" applyBorder="1" applyAlignment="1">
      <alignment horizontal="left" vertical="center" wrapText="1"/>
    </xf>
    <xf numFmtId="0" fontId="51" fillId="3" borderId="1" xfId="0" applyFont="1" applyFill="1" applyBorder="1" applyAlignment="1">
      <alignment horizontal="left" vertical="center"/>
    </xf>
    <xf numFmtId="0" fontId="51" fillId="3" borderId="22" xfId="0" applyFont="1" applyFill="1" applyBorder="1" applyAlignment="1">
      <alignment horizontal="left" vertical="center" wrapText="1"/>
    </xf>
    <xf numFmtId="0" fontId="51" fillId="3" borderId="22" xfId="0" applyFont="1" applyFill="1" applyBorder="1" applyAlignment="1">
      <alignment horizontal="left" vertical="center"/>
    </xf>
    <xf numFmtId="0" fontId="52" fillId="0" borderId="4" xfId="0" applyFont="1" applyBorder="1" applyAlignment="1">
      <alignment horizontal="center" vertical="center"/>
    </xf>
    <xf numFmtId="0" fontId="52" fillId="0" borderId="27" xfId="0" applyNumberFormat="1" applyFont="1" applyBorder="1" applyAlignment="1">
      <alignment horizontal="center" vertical="center"/>
    </xf>
    <xf numFmtId="0" fontId="53" fillId="0" borderId="4" xfId="0" applyFont="1" applyFill="1" applyBorder="1" applyAlignment="1">
      <alignment horizontal="center" vertical="center"/>
    </xf>
    <xf numFmtId="0" fontId="53" fillId="0" borderId="27" xfId="0" applyNumberFormat="1" applyFont="1" applyFill="1" applyBorder="1" applyAlignment="1">
      <alignment horizontal="center" vertical="center"/>
    </xf>
    <xf numFmtId="0" fontId="52" fillId="0" borderId="22" xfId="0" applyFont="1" applyBorder="1" applyAlignment="1">
      <alignment horizontal="center" vertical="center"/>
    </xf>
    <xf numFmtId="0" fontId="52" fillId="0" borderId="25" xfId="0" applyNumberFormat="1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0" xfId="0" applyFont="1" applyBorder="1"/>
    <xf numFmtId="0" fontId="51" fillId="3" borderId="14" xfId="0" applyFont="1" applyFill="1" applyBorder="1" applyAlignment="1">
      <alignment horizontal="left"/>
    </xf>
    <xf numFmtId="0" fontId="51" fillId="3" borderId="30" xfId="0" applyFont="1" applyFill="1" applyBorder="1" applyAlignment="1">
      <alignment horizontal="left"/>
    </xf>
    <xf numFmtId="0" fontId="51" fillId="3" borderId="1" xfId="0" applyFont="1" applyFill="1" applyBorder="1" applyAlignment="1">
      <alignment horizontal="left"/>
    </xf>
    <xf numFmtId="0" fontId="51" fillId="3" borderId="27" xfId="0" applyFont="1" applyFill="1" applyBorder="1" applyAlignment="1">
      <alignment horizontal="left"/>
    </xf>
    <xf numFmtId="0" fontId="51" fillId="3" borderId="22" xfId="0" applyFont="1" applyFill="1" applyBorder="1" applyAlignment="1">
      <alignment horizontal="left"/>
    </xf>
    <xf numFmtId="0" fontId="51" fillId="3" borderId="25" xfId="0" applyFont="1" applyFill="1" applyBorder="1" applyAlignment="1">
      <alignment horizontal="left"/>
    </xf>
    <xf numFmtId="1" fontId="51" fillId="3" borderId="14" xfId="0" applyNumberFormat="1" applyFont="1" applyFill="1" applyBorder="1" applyAlignment="1">
      <alignment horizontal="left" vertical="center"/>
    </xf>
    <xf numFmtId="1" fontId="51" fillId="3" borderId="1" xfId="0" applyNumberFormat="1" applyFont="1" applyFill="1" applyBorder="1" applyAlignment="1">
      <alignment horizontal="left" vertical="center"/>
    </xf>
    <xf numFmtId="1" fontId="51" fillId="3" borderId="22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51" fillId="0" borderId="0" xfId="0" applyFont="1" applyBorder="1" applyAlignment="1"/>
    <xf numFmtId="0" fontId="7" fillId="0" borderId="26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27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" fontId="6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textRotation="90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textRotation="90"/>
    </xf>
    <xf numFmtId="0" fontId="51" fillId="8" borderId="14" xfId="0" applyFont="1" applyFill="1" applyBorder="1" applyAlignment="1">
      <alignment horizontal="left" vertical="center"/>
    </xf>
    <xf numFmtId="0" fontId="51" fillId="8" borderId="1" xfId="0" applyFont="1" applyFill="1" applyBorder="1" applyAlignment="1">
      <alignment horizontal="left" vertical="center"/>
    </xf>
    <xf numFmtId="0" fontId="51" fillId="8" borderId="22" xfId="0" applyFont="1" applyFill="1" applyBorder="1" applyAlignment="1">
      <alignment horizontal="left" vertical="center"/>
    </xf>
    <xf numFmtId="0" fontId="51" fillId="3" borderId="4" xfId="0" applyFont="1" applyFill="1" applyBorder="1" applyAlignment="1">
      <alignment horizontal="left" vertical="center"/>
    </xf>
    <xf numFmtId="0" fontId="51" fillId="8" borderId="30" xfId="0" applyFont="1" applyFill="1" applyBorder="1" applyAlignment="1">
      <alignment horizontal="left" vertical="center"/>
    </xf>
    <xf numFmtId="0" fontId="51" fillId="8" borderId="27" xfId="0" applyFont="1" applyFill="1" applyBorder="1" applyAlignment="1">
      <alignment horizontal="left" vertical="center"/>
    </xf>
    <xf numFmtId="0" fontId="51" fillId="8" borderId="25" xfId="0" applyFont="1" applyFill="1" applyBorder="1" applyAlignment="1">
      <alignment horizontal="left" vertical="center"/>
    </xf>
    <xf numFmtId="0" fontId="0" fillId="4" borderId="13" xfId="0" applyFill="1" applyBorder="1"/>
    <xf numFmtId="0" fontId="0" fillId="4" borderId="14" xfId="0" applyFill="1" applyBorder="1"/>
    <xf numFmtId="0" fontId="12" fillId="4" borderId="14" xfId="0" applyFont="1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>
      <alignment horizontal="center"/>
    </xf>
    <xf numFmtId="0" fontId="0" fillId="6" borderId="14" xfId="0" applyFill="1" applyBorder="1"/>
    <xf numFmtId="0" fontId="0" fillId="9" borderId="14" xfId="0" applyFill="1" applyBorder="1" applyAlignment="1">
      <alignment horizontal="center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0" fillId="9" borderId="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3" borderId="0" xfId="0" applyFill="1" applyBorder="1" applyAlignment="1">
      <alignment horizontal="center" vertical="center" textRotation="90"/>
    </xf>
    <xf numFmtId="0" fontId="51" fillId="8" borderId="1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Fill="1" applyBorder="1"/>
    <xf numFmtId="0" fontId="0" fillId="0" borderId="0" xfId="0" applyFill="1"/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45" xfId="0" applyBorder="1"/>
    <xf numFmtId="0" fontId="0" fillId="0" borderId="45" xfId="0" applyBorder="1" applyAlignment="1">
      <alignment horizontal="center"/>
    </xf>
    <xf numFmtId="0" fontId="0" fillId="0" borderId="66" xfId="0" applyBorder="1"/>
    <xf numFmtId="0" fontId="0" fillId="0" borderId="39" xfId="0" applyBorder="1"/>
    <xf numFmtId="0" fontId="0" fillId="8" borderId="28" xfId="0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 textRotation="90" wrapText="1"/>
    </xf>
    <xf numFmtId="1" fontId="0" fillId="0" borderId="4" xfId="0" applyNumberFormat="1" applyBorder="1"/>
    <xf numFmtId="165" fontId="0" fillId="0" borderId="1" xfId="0" applyNumberFormat="1" applyBorder="1"/>
    <xf numFmtId="165" fontId="11" fillId="4" borderId="14" xfId="0" applyNumberFormat="1" applyFont="1" applyFill="1" applyBorder="1" applyAlignment="1">
      <alignment horizontal="left" vertical="center"/>
    </xf>
    <xf numFmtId="165" fontId="0" fillId="0" borderId="0" xfId="0" applyNumberFormat="1" applyBorder="1"/>
    <xf numFmtId="4" fontId="0" fillId="0" borderId="0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5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3" fillId="3" borderId="15" xfId="0" applyFont="1" applyFill="1" applyBorder="1" applyAlignment="1">
      <alignment horizontal="center" vertical="center" textRotation="90" wrapText="1"/>
    </xf>
    <xf numFmtId="0" fontId="23" fillId="3" borderId="23" xfId="0" applyFont="1" applyFill="1" applyBorder="1" applyAlignment="1">
      <alignment horizontal="center" vertical="center" textRotation="90" wrapText="1"/>
    </xf>
    <xf numFmtId="0" fontId="0" fillId="0" borderId="70" xfId="0" applyBorder="1" applyAlignment="1">
      <alignment horizontal="center" vertical="center" textRotation="90"/>
    </xf>
    <xf numFmtId="0" fontId="0" fillId="0" borderId="71" xfId="0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 wrapText="1"/>
    </xf>
    <xf numFmtId="0" fontId="0" fillId="0" borderId="22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0" fillId="4" borderId="22" xfId="0" applyFill="1" applyBorder="1" applyAlignment="1">
      <alignment horizontal="center" vertical="center" textRotation="90" wrapText="1"/>
    </xf>
    <xf numFmtId="0" fontId="23" fillId="3" borderId="13" xfId="0" applyFont="1" applyFill="1" applyBorder="1" applyAlignment="1">
      <alignment horizontal="center"/>
    </xf>
    <xf numFmtId="0" fontId="23" fillId="3" borderId="14" xfId="0" applyFont="1" applyFill="1" applyBorder="1" applyAlignment="1">
      <alignment horizontal="center"/>
    </xf>
    <xf numFmtId="0" fontId="23" fillId="0" borderId="14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textRotation="90"/>
    </xf>
    <xf numFmtId="0" fontId="12" fillId="4" borderId="22" xfId="0" applyFont="1" applyFill="1" applyBorder="1" applyAlignment="1">
      <alignment horizontal="center" vertical="center" textRotation="90"/>
    </xf>
    <xf numFmtId="0" fontId="0" fillId="3" borderId="5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textRotation="90" wrapText="1"/>
    </xf>
    <xf numFmtId="0" fontId="23" fillId="3" borderId="22" xfId="0" applyFont="1" applyFill="1" applyBorder="1" applyAlignment="1">
      <alignment horizontal="center" vertical="center" textRotation="90" wrapText="1"/>
    </xf>
    <xf numFmtId="0" fontId="0" fillId="4" borderId="30" xfId="0" applyFill="1" applyBorder="1" applyAlignment="1">
      <alignment horizontal="center" vertical="center" textRotation="90" wrapText="1"/>
    </xf>
    <xf numFmtId="0" fontId="0" fillId="4" borderId="25" xfId="0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 vertical="center" textRotation="90"/>
    </xf>
    <xf numFmtId="0" fontId="0" fillId="0" borderId="23" xfId="0" applyFill="1" applyBorder="1" applyAlignment="1">
      <alignment horizontal="center" vertical="center" textRotation="90"/>
    </xf>
    <xf numFmtId="0" fontId="18" fillId="0" borderId="0" xfId="0" applyFont="1" applyAlignment="1">
      <alignment horizontal="center" textRotation="90"/>
    </xf>
    <xf numFmtId="0" fontId="24" fillId="0" borderId="0" xfId="0" applyFont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0" xfId="0" applyFont="1" applyBorder="1" applyAlignment="1">
      <alignment horizontal="center" textRotation="90"/>
    </xf>
    <xf numFmtId="0" fontId="52" fillId="0" borderId="28" xfId="0" applyFont="1" applyBorder="1" applyAlignment="1">
      <alignment horizontal="center" vertical="center"/>
    </xf>
    <xf numFmtId="0" fontId="52" fillId="0" borderId="28" xfId="0" applyFont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textRotation="90"/>
    </xf>
    <xf numFmtId="0" fontId="0" fillId="9" borderId="22" xfId="0" applyFill="1" applyBorder="1" applyAlignment="1">
      <alignment horizontal="center" vertical="center" textRotation="90"/>
    </xf>
    <xf numFmtId="0" fontId="20" fillId="0" borderId="0" xfId="0" applyFont="1" applyAlignment="1">
      <alignment horizontal="center" textRotation="90"/>
    </xf>
    <xf numFmtId="0" fontId="19" fillId="0" borderId="0" xfId="0" applyFont="1" applyBorder="1" applyAlignment="1">
      <alignment horizontal="center"/>
    </xf>
    <xf numFmtId="0" fontId="23" fillId="3" borderId="14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12" fillId="0" borderId="22" xfId="0" applyFont="1" applyBorder="1" applyAlignment="1" applyProtection="1">
      <alignment horizontal="center" vertical="center" wrapText="1"/>
      <protection locked="0"/>
    </xf>
    <xf numFmtId="0" fontId="21" fillId="3" borderId="14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textRotation="90" wrapText="1"/>
    </xf>
    <xf numFmtId="0" fontId="21" fillId="3" borderId="22" xfId="0" applyFont="1" applyFill="1" applyBorder="1" applyAlignment="1">
      <alignment horizontal="center" vertical="center" textRotation="90" wrapText="1"/>
    </xf>
    <xf numFmtId="0" fontId="12" fillId="0" borderId="0" xfId="0" applyFont="1" applyBorder="1" applyAlignment="1">
      <alignment horizontal="center" vertical="center"/>
    </xf>
    <xf numFmtId="0" fontId="53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2" fillId="0" borderId="67" xfId="0" applyFont="1" applyBorder="1" applyAlignment="1">
      <alignment horizontal="left" vertical="center"/>
    </xf>
    <xf numFmtId="0" fontId="52" fillId="0" borderId="2" xfId="0" applyFont="1" applyBorder="1" applyAlignment="1">
      <alignment horizontal="left" vertical="center"/>
    </xf>
    <xf numFmtId="2" fontId="52" fillId="0" borderId="4" xfId="0" applyNumberFormat="1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61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0" fontId="52" fillId="0" borderId="20" xfId="0" applyFont="1" applyBorder="1" applyAlignment="1">
      <alignment horizontal="left" vertical="center"/>
    </xf>
    <xf numFmtId="0" fontId="52" fillId="0" borderId="61" xfId="0" applyFont="1" applyBorder="1" applyAlignment="1">
      <alignment horizontal="left" vertical="center"/>
    </xf>
    <xf numFmtId="0" fontId="52" fillId="0" borderId="31" xfId="0" applyFont="1" applyBorder="1" applyAlignment="1">
      <alignment horizontal="center" vertical="center"/>
    </xf>
    <xf numFmtId="0" fontId="52" fillId="0" borderId="26" xfId="0" applyFont="1" applyBorder="1" applyAlignment="1">
      <alignment horizontal="left" vertical="center"/>
    </xf>
    <xf numFmtId="0" fontId="52" fillId="0" borderId="1" xfId="0" applyFont="1" applyBorder="1" applyAlignment="1">
      <alignment horizontal="left" vertical="center"/>
    </xf>
    <xf numFmtId="2" fontId="53" fillId="0" borderId="1" xfId="0" applyNumberFormat="1" applyFont="1" applyFill="1" applyBorder="1" applyAlignment="1">
      <alignment horizontal="center" vertical="center"/>
    </xf>
    <xf numFmtId="0" fontId="53" fillId="0" borderId="61" xfId="0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center"/>
    </xf>
    <xf numFmtId="0" fontId="53" fillId="0" borderId="26" xfId="0" applyFont="1" applyFill="1" applyBorder="1" applyAlignment="1">
      <alignment horizontal="left" vertical="center"/>
    </xf>
    <xf numFmtId="0" fontId="53" fillId="0" borderId="1" xfId="0" applyFont="1" applyFill="1" applyBorder="1" applyAlignment="1">
      <alignment horizontal="left" vertical="center"/>
    </xf>
    <xf numFmtId="0" fontId="52" fillId="0" borderId="0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43" xfId="0" applyFont="1" applyBorder="1" applyAlignment="1">
      <alignment horizontal="center" vertical="center"/>
    </xf>
    <xf numFmtId="2" fontId="52" fillId="0" borderId="68" xfId="0" applyNumberFormat="1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21" xfId="0" applyFont="1" applyBorder="1" applyAlignment="1">
      <alignment horizontal="left" vertical="center"/>
    </xf>
    <xf numFmtId="0" fontId="52" fillId="0" borderId="22" xfId="0" applyFont="1" applyBorder="1" applyAlignment="1">
      <alignment horizontal="left" vertical="center"/>
    </xf>
    <xf numFmtId="2" fontId="52" fillId="0" borderId="22" xfId="0" applyNumberFormat="1" applyFon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/>
    </xf>
    <xf numFmtId="0" fontId="52" fillId="0" borderId="32" xfId="0" applyFont="1" applyBorder="1" applyAlignment="1">
      <alignment horizontal="center" vertical="center"/>
    </xf>
    <xf numFmtId="0" fontId="52" fillId="0" borderId="37" xfId="0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textRotation="90"/>
    </xf>
    <xf numFmtId="0" fontId="0" fillId="7" borderId="1" xfId="0" applyFill="1" applyBorder="1" applyAlignment="1">
      <alignment horizontal="center" vertical="center" textRotation="90"/>
    </xf>
    <xf numFmtId="0" fontId="0" fillId="7" borderId="22" xfId="0" applyFill="1" applyBorder="1" applyAlignment="1">
      <alignment horizontal="center" vertical="center" textRotation="90"/>
    </xf>
    <xf numFmtId="0" fontId="0" fillId="7" borderId="59" xfId="0" applyFill="1" applyBorder="1" applyAlignment="1">
      <alignment horizontal="center" vertical="center" textRotation="90"/>
    </xf>
    <xf numFmtId="0" fontId="0" fillId="7" borderId="60" xfId="0" applyFill="1" applyBorder="1" applyAlignment="1">
      <alignment horizontal="center" vertical="center" textRotation="90"/>
    </xf>
    <xf numFmtId="0" fontId="0" fillId="7" borderId="36" xfId="0" applyFill="1" applyBorder="1" applyAlignment="1">
      <alignment horizontal="center" vertical="center" textRotation="90"/>
    </xf>
    <xf numFmtId="0" fontId="23" fillId="0" borderId="14" xfId="0" applyFont="1" applyBorder="1" applyAlignment="1">
      <alignment horizontal="center" vertical="center" textRotation="90" wrapText="1"/>
    </xf>
    <xf numFmtId="0" fontId="23" fillId="0" borderId="22" xfId="0" applyFont="1" applyBorder="1" applyAlignment="1">
      <alignment horizontal="center" vertical="center" textRotation="90" wrapText="1"/>
    </xf>
    <xf numFmtId="0" fontId="2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4" borderId="14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30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3" fillId="4" borderId="18" xfId="0" applyFont="1" applyFill="1" applyBorder="1" applyAlignment="1">
      <alignment horizontal="center" vertical="center"/>
    </xf>
    <xf numFmtId="0" fontId="23" fillId="4" borderId="41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textRotation="90" wrapText="1"/>
    </xf>
    <xf numFmtId="0" fontId="21" fillId="0" borderId="22" xfId="0" applyFont="1" applyBorder="1" applyAlignment="1">
      <alignment horizontal="center" vertical="center" textRotation="90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7" borderId="62" xfId="0" applyFill="1" applyBorder="1" applyAlignment="1">
      <alignment horizontal="center" vertical="center" textRotation="90"/>
    </xf>
    <xf numFmtId="0" fontId="0" fillId="7" borderId="63" xfId="0" applyFill="1" applyBorder="1" applyAlignment="1">
      <alignment horizontal="center" vertical="center" textRotation="90"/>
    </xf>
    <xf numFmtId="0" fontId="0" fillId="7" borderId="64" xfId="0" applyFill="1" applyBorder="1" applyAlignment="1">
      <alignment horizontal="center" vertical="center" textRotation="90"/>
    </xf>
    <xf numFmtId="0" fontId="0" fillId="7" borderId="30" xfId="0" applyFill="1" applyBorder="1" applyAlignment="1">
      <alignment horizontal="center" vertical="center" textRotation="90"/>
    </xf>
    <xf numFmtId="0" fontId="0" fillId="7" borderId="27" xfId="0" applyFill="1" applyBorder="1" applyAlignment="1">
      <alignment horizontal="center" vertical="center" textRotation="90"/>
    </xf>
    <xf numFmtId="0" fontId="0" fillId="7" borderId="25" xfId="0" applyFill="1" applyBorder="1" applyAlignment="1">
      <alignment horizontal="center" vertical="center" textRotation="90"/>
    </xf>
    <xf numFmtId="0" fontId="0" fillId="7" borderId="15" xfId="0" applyFill="1" applyBorder="1" applyAlignment="1">
      <alignment horizontal="center" vertical="center" textRotation="90" wrapText="1"/>
    </xf>
    <xf numFmtId="0" fontId="0" fillId="7" borderId="10" xfId="0" applyFill="1" applyBorder="1" applyAlignment="1">
      <alignment horizontal="center" vertical="center" textRotation="90" wrapText="1"/>
    </xf>
    <xf numFmtId="0" fontId="0" fillId="7" borderId="23" xfId="0" applyFill="1" applyBorder="1" applyAlignment="1">
      <alignment horizontal="center" vertical="center" textRotation="90" wrapText="1"/>
    </xf>
    <xf numFmtId="0" fontId="0" fillId="7" borderId="16" xfId="0" applyFill="1" applyBorder="1" applyAlignment="1">
      <alignment horizontal="center" vertical="center" textRotation="90"/>
    </xf>
    <xf numFmtId="0" fontId="0" fillId="7" borderId="31" xfId="0" applyFill="1" applyBorder="1" applyAlignment="1">
      <alignment horizontal="center" vertical="center" textRotation="90"/>
    </xf>
    <xf numFmtId="0" fontId="0" fillId="7" borderId="24" xfId="0" applyFill="1" applyBorder="1" applyAlignment="1">
      <alignment horizontal="center" vertical="center" textRotation="90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4" fillId="0" borderId="0" xfId="0" applyFont="1" applyAlignment="1">
      <alignment horizontal="center" textRotation="90"/>
    </xf>
    <xf numFmtId="0" fontId="5" fillId="0" borderId="0" xfId="0" applyFont="1" applyAlignment="1"/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 applyProtection="1">
      <alignment horizontal="center" vertical="center" wrapText="1"/>
      <protection locked="0"/>
    </xf>
    <xf numFmtId="0" fontId="5" fillId="0" borderId="47" xfId="0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 vertical="center" wrapText="1"/>
    </xf>
    <xf numFmtId="0" fontId="38" fillId="0" borderId="0" xfId="0" applyFont="1" applyBorder="1" applyAlignment="1">
      <alignment horizontal="center"/>
    </xf>
    <xf numFmtId="0" fontId="30" fillId="0" borderId="11" xfId="0" applyFont="1" applyBorder="1" applyAlignment="1">
      <alignment horizontal="center" vertical="center" textRotation="180"/>
    </xf>
    <xf numFmtId="0" fontId="30" fillId="0" borderId="0" xfId="0" applyFont="1" applyBorder="1" applyAlignment="1">
      <alignment horizontal="center" vertical="center" textRotation="180"/>
    </xf>
    <xf numFmtId="0" fontId="31" fillId="0" borderId="1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12" fillId="0" borderId="45" xfId="0" applyFont="1" applyBorder="1" applyAlignment="1" applyProtection="1">
      <alignment horizontal="center" vertical="center" wrapText="1"/>
      <protection locked="0"/>
    </xf>
    <xf numFmtId="0" fontId="12" fillId="0" borderId="46" xfId="0" applyFont="1" applyBorder="1" applyAlignment="1" applyProtection="1">
      <alignment horizontal="center" vertical="center" wrapText="1"/>
      <protection locked="0"/>
    </xf>
    <xf numFmtId="0" fontId="12" fillId="0" borderId="47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textRotation="90"/>
    </xf>
    <xf numFmtId="0" fontId="0" fillId="2" borderId="45" xfId="0" applyFill="1" applyBorder="1" applyAlignment="1">
      <alignment horizontal="center" vertical="center" textRotation="90" wrapText="1"/>
    </xf>
    <xf numFmtId="0" fontId="0" fillId="2" borderId="47" xfId="0" applyFill="1" applyBorder="1" applyAlignment="1">
      <alignment horizontal="center" vertical="center" textRotation="90" wrapText="1"/>
    </xf>
    <xf numFmtId="0" fontId="0" fillId="2" borderId="46" xfId="0" applyFill="1" applyBorder="1" applyAlignment="1">
      <alignment horizontal="center" vertical="center" textRotation="90" wrapText="1"/>
    </xf>
    <xf numFmtId="0" fontId="0" fillId="0" borderId="45" xfId="0" applyBorder="1" applyAlignment="1">
      <alignment horizontal="center" vertical="center" textRotation="90" wrapText="1"/>
    </xf>
    <xf numFmtId="0" fontId="0" fillId="0" borderId="46" xfId="0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/>
    </xf>
    <xf numFmtId="0" fontId="2" fillId="2" borderId="6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top" wrapText="1"/>
    </xf>
    <xf numFmtId="0" fontId="2" fillId="4" borderId="30" xfId="0" applyFont="1" applyFill="1" applyBorder="1" applyAlignment="1">
      <alignment horizontal="center" vertical="center" textRotation="90"/>
    </xf>
    <xf numFmtId="0" fontId="2" fillId="4" borderId="25" xfId="0" applyFont="1" applyFill="1" applyBorder="1" applyAlignment="1">
      <alignment horizontal="center" vertical="center" textRotation="90"/>
    </xf>
    <xf numFmtId="0" fontId="0" fillId="0" borderId="47" xfId="0" applyBorder="1" applyAlignment="1">
      <alignment horizontal="center" vertical="center" textRotation="90" wrapText="1"/>
    </xf>
    <xf numFmtId="0" fontId="2" fillId="4" borderId="14" xfId="0" applyFont="1" applyFill="1" applyBorder="1" applyAlignment="1">
      <alignment horizontal="center" vertical="center" textRotation="90"/>
    </xf>
    <xf numFmtId="0" fontId="2" fillId="4" borderId="22" xfId="0" applyFont="1" applyFill="1" applyBorder="1" applyAlignment="1">
      <alignment horizontal="center" vertical="center" textRotation="90"/>
    </xf>
    <xf numFmtId="0" fontId="21" fillId="4" borderId="15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textRotation="90"/>
    </xf>
    <xf numFmtId="0" fontId="33" fillId="0" borderId="0" xfId="0" applyFont="1" applyAlignment="1">
      <alignment horizontal="center" vertical="top" textRotation="90"/>
    </xf>
    <xf numFmtId="0" fontId="23" fillId="3" borderId="30" xfId="0" applyFont="1" applyFill="1" applyBorder="1" applyAlignment="1">
      <alignment horizontal="center" vertical="center" textRotation="90" wrapText="1"/>
    </xf>
    <xf numFmtId="0" fontId="23" fillId="3" borderId="25" xfId="0" applyFont="1" applyFill="1" applyBorder="1" applyAlignment="1">
      <alignment horizontal="center" vertical="center" textRotation="90" wrapText="1"/>
    </xf>
    <xf numFmtId="0" fontId="12" fillId="3" borderId="14" xfId="0" applyFont="1" applyFill="1" applyBorder="1" applyAlignment="1">
      <alignment horizontal="center" vertical="center" textRotation="90" wrapText="1"/>
    </xf>
    <xf numFmtId="0" fontId="12" fillId="3" borderId="22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/>
    </xf>
    <xf numFmtId="0" fontId="12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10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AppData/Local/Microsoft/Windows/Temporary%20Internet%20Files/Content.IE5/O60JRSR6/&#1057;&#1086;&#1087;&#1088;&#1086;&#1074;&#1086;&#1076;&#1080;&#1090;&#1077;&#1083;&#1100;&#1085;&#1099;&#1077;/&#1057;&#1086;&#1087;&#1088;&#1086;&#1074;&#1086;&#1076;&#1080;&#1090;&#1077;&#1083;&#1100;&#1085;&#1099;&#1077;/&#1043;&#1077;&#1088;&#1084;&#1080;&#1082;,%20&#1056;&#1077;&#1075;&#1091;&#1083;&#1103;&#1088;%20&#1089;&#1086;&#1087;&#1088;.&#1086;&#1073;&#1088;&#1072;&#1079;&#1077;&#1094;%20&#1086;&#1090;%2024.05.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сходные данные"/>
      <sheetName val="Труматик гермики"/>
      <sheetName val="Ножницы стенка"/>
      <sheetName val="Ножницы кожух"/>
      <sheetName val="Задание Ножницы лента"/>
      <sheetName val="Ножницы упор"/>
      <sheetName val="Задание на гибку"/>
      <sheetName val="Задание на резку"/>
      <sheetName val="Задание на Trumpf"/>
      <sheetName val="Комплектовочный лист"/>
      <sheetName val="Программист"/>
      <sheetName val="Справочные"/>
      <sheetName val="reg_table"/>
    </sheetNames>
    <sheetDataSet>
      <sheetData sheetId="0" refreshError="1">
        <row r="10">
          <cell r="AQ10">
            <v>0</v>
          </cell>
          <cell r="AS10">
            <v>0</v>
          </cell>
        </row>
        <row r="11">
          <cell r="AQ11">
            <v>0</v>
          </cell>
          <cell r="AS11">
            <v>0</v>
          </cell>
        </row>
        <row r="12">
          <cell r="AQ12">
            <v>0</v>
          </cell>
          <cell r="AS12">
            <v>0</v>
          </cell>
        </row>
        <row r="13">
          <cell r="AQ13">
            <v>0</v>
          </cell>
          <cell r="AS13">
            <v>0</v>
          </cell>
        </row>
        <row r="14">
          <cell r="AQ14">
            <v>0</v>
          </cell>
          <cell r="AS14">
            <v>0</v>
          </cell>
        </row>
        <row r="15">
          <cell r="AQ15">
            <v>0</v>
          </cell>
          <cell r="AS15">
            <v>0</v>
          </cell>
        </row>
        <row r="16">
          <cell r="AQ16">
            <v>0</v>
          </cell>
          <cell r="AS16">
            <v>0</v>
          </cell>
        </row>
        <row r="17">
          <cell r="AQ17">
            <v>0</v>
          </cell>
          <cell r="AS17">
            <v>0</v>
          </cell>
        </row>
        <row r="18">
          <cell r="AQ18">
            <v>0</v>
          </cell>
          <cell r="AS18">
            <v>0</v>
          </cell>
        </row>
        <row r="19">
          <cell r="AQ19">
            <v>0</v>
          </cell>
          <cell r="AS19">
            <v>0</v>
          </cell>
        </row>
        <row r="20">
          <cell r="AQ20">
            <v>0</v>
          </cell>
          <cell r="AS20">
            <v>0</v>
          </cell>
        </row>
        <row r="21">
          <cell r="AQ21">
            <v>0</v>
          </cell>
          <cell r="AS21">
            <v>0</v>
          </cell>
        </row>
        <row r="22">
          <cell r="AQ22">
            <v>0</v>
          </cell>
          <cell r="AS22">
            <v>0</v>
          </cell>
        </row>
        <row r="23">
          <cell r="AQ23">
            <v>0</v>
          </cell>
          <cell r="AS23">
            <v>0</v>
          </cell>
        </row>
        <row r="24">
          <cell r="AQ24">
            <v>0</v>
          </cell>
          <cell r="AS2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5"/>
  <sheetViews>
    <sheetView view="pageBreakPreview" zoomScale="84" zoomScaleSheetLayoutView="84" workbookViewId="0">
      <selection activeCell="J12" sqref="J12"/>
    </sheetView>
  </sheetViews>
  <sheetFormatPr defaultRowHeight="15"/>
  <cols>
    <col min="1" max="1" width="9.28515625" bestFit="1" customWidth="1"/>
    <col min="2" max="2" width="9.7109375" customWidth="1"/>
    <col min="3" max="3" width="8.85546875" customWidth="1"/>
    <col min="4" max="4" width="6.140625" customWidth="1"/>
    <col min="5" max="7" width="4" customWidth="1"/>
    <col min="8" max="8" width="4.5703125" customWidth="1"/>
    <col min="9" max="9" width="11.85546875" customWidth="1"/>
    <col min="10" max="10" width="11.140625" bestFit="1" customWidth="1"/>
    <col min="11" max="11" width="3.42578125" customWidth="1"/>
    <col min="12" max="12" width="3" customWidth="1"/>
    <col min="13" max="13" width="3.5703125" hidden="1" customWidth="1"/>
    <col min="14" max="14" width="10" customWidth="1"/>
    <col min="15" max="15" width="2.85546875" customWidth="1"/>
    <col min="16" max="17" width="6.42578125" customWidth="1"/>
    <col min="18" max="18" width="8.28515625" customWidth="1"/>
    <col min="19" max="19" width="7.140625" customWidth="1"/>
    <col min="20" max="20" width="5.7109375" customWidth="1"/>
    <col min="21" max="21" width="7" customWidth="1"/>
    <col min="22" max="22" width="12.28515625" hidden="1" customWidth="1"/>
    <col min="23" max="29" width="0" hidden="1" customWidth="1"/>
    <col min="30" max="30" width="13.5703125" hidden="1" customWidth="1"/>
    <col min="31" max="31" width="0" hidden="1" customWidth="1"/>
    <col min="32" max="32" width="10" hidden="1" customWidth="1"/>
    <col min="33" max="35" width="0" hidden="1" customWidth="1"/>
    <col min="36" max="36" width="24.85546875" hidden="1" customWidth="1"/>
    <col min="37" max="41" width="0" hidden="1" customWidth="1"/>
    <col min="42" max="42" width="12.28515625" hidden="1" customWidth="1"/>
    <col min="43" max="44" width="0" hidden="1" customWidth="1"/>
    <col min="45" max="45" width="10.28515625" hidden="1" customWidth="1"/>
    <col min="46" max="49" width="0" hidden="1" customWidth="1"/>
    <col min="50" max="52" width="10.28515625" hidden="1" customWidth="1"/>
    <col min="53" max="57" width="0" hidden="1" customWidth="1"/>
  </cols>
  <sheetData>
    <row r="1" spans="1:56">
      <c r="B1" s="20"/>
    </row>
    <row r="2" spans="1:56">
      <c r="B2" s="20"/>
    </row>
    <row r="3" spans="1:56">
      <c r="B3" s="20"/>
    </row>
    <row r="4" spans="1:56" hidden="1">
      <c r="B4" s="20"/>
    </row>
    <row r="5" spans="1:56" hidden="1">
      <c r="B5" s="20"/>
      <c r="I5" s="4"/>
    </row>
    <row r="6" spans="1:56" hidden="1">
      <c r="B6" s="20" t="s">
        <v>24</v>
      </c>
      <c r="I6" s="4" t="s">
        <v>0</v>
      </c>
    </row>
    <row r="7" spans="1:56" hidden="1">
      <c r="B7" s="20" t="s">
        <v>25</v>
      </c>
      <c r="I7" t="s">
        <v>243</v>
      </c>
      <c r="J7" t="s">
        <v>244</v>
      </c>
    </row>
    <row r="8" spans="1:56" hidden="1">
      <c r="B8" s="20" t="s">
        <v>26</v>
      </c>
      <c r="I8" s="28" t="s">
        <v>39</v>
      </c>
    </row>
    <row r="9" spans="1:56" hidden="1">
      <c r="B9" s="20" t="s">
        <v>92</v>
      </c>
      <c r="I9" s="28" t="s">
        <v>93</v>
      </c>
    </row>
    <row r="10" spans="1:56" hidden="1">
      <c r="B10" s="20" t="s">
        <v>193</v>
      </c>
      <c r="I10" s="4" t="s">
        <v>221</v>
      </c>
    </row>
    <row r="11" spans="1:56" hidden="1">
      <c r="I11" s="4" t="s">
        <v>194</v>
      </c>
    </row>
    <row r="12" spans="1:56" ht="18.75">
      <c r="B12" s="21" t="s">
        <v>49</v>
      </c>
      <c r="C12" s="21"/>
      <c r="D12" s="21"/>
      <c r="E12" s="21"/>
      <c r="F12" s="21"/>
      <c r="G12" s="21"/>
      <c r="H12" s="21"/>
      <c r="I12" s="21"/>
      <c r="J12" s="32">
        <v>4444</v>
      </c>
    </row>
    <row r="14" spans="1:56" ht="102" thickBot="1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 t="s">
        <v>24</v>
      </c>
      <c r="P14" s="38" t="s">
        <v>50</v>
      </c>
      <c r="Q14" s="38" t="s">
        <v>297</v>
      </c>
      <c r="R14" s="38" t="s">
        <v>257</v>
      </c>
      <c r="S14" s="248" t="s">
        <v>242</v>
      </c>
      <c r="T14" s="248" t="s">
        <v>241</v>
      </c>
      <c r="U14" s="37"/>
      <c r="AZ14" t="s">
        <v>341</v>
      </c>
    </row>
    <row r="15" spans="1:56" ht="72.75" customHeight="1" thickBot="1">
      <c r="B15" s="290" t="s">
        <v>8</v>
      </c>
      <c r="C15" s="291"/>
      <c r="D15" s="291"/>
      <c r="E15" s="291"/>
      <c r="F15" s="291"/>
      <c r="G15" s="291"/>
      <c r="H15" s="291"/>
      <c r="I15" s="292" t="s">
        <v>37</v>
      </c>
      <c r="J15" s="292" t="s">
        <v>36</v>
      </c>
      <c r="K15" s="291"/>
      <c r="L15" s="291"/>
      <c r="M15" s="291"/>
      <c r="N15" s="291" t="s">
        <v>192</v>
      </c>
      <c r="O15" s="291"/>
      <c r="P15" s="537"/>
      <c r="Q15" s="291"/>
      <c r="R15" s="291" t="s">
        <v>313</v>
      </c>
      <c r="S15" s="291"/>
      <c r="T15" s="293"/>
      <c r="U15" s="294" t="s">
        <v>1</v>
      </c>
      <c r="V15" s="37"/>
      <c r="AB15" s="295" t="s">
        <v>247</v>
      </c>
      <c r="AC15" s="296"/>
      <c r="AD15" s="296"/>
      <c r="AE15" s="296"/>
      <c r="AF15" s="297" t="s">
        <v>248</v>
      </c>
      <c r="AG15" s="298" t="s">
        <v>249</v>
      </c>
      <c r="AI15" s="407" t="s">
        <v>270</v>
      </c>
      <c r="AJ15" s="408" t="s">
        <v>220</v>
      </c>
      <c r="AK15" s="301" t="s">
        <v>270</v>
      </c>
      <c r="AM15" s="407" t="s">
        <v>292</v>
      </c>
      <c r="AN15" s="408" t="s">
        <v>293</v>
      </c>
      <c r="AO15" s="408" t="s">
        <v>39</v>
      </c>
      <c r="AP15" s="408" t="s">
        <v>297</v>
      </c>
      <c r="AQ15" s="341" t="s">
        <v>298</v>
      </c>
      <c r="AS15" s="407" t="s">
        <v>299</v>
      </c>
      <c r="AT15" s="408" t="s">
        <v>300</v>
      </c>
      <c r="AU15" s="408" t="s">
        <v>301</v>
      </c>
      <c r="AV15" s="342" t="s">
        <v>274</v>
      </c>
      <c r="AW15" s="509"/>
      <c r="AX15" s="488" t="s">
        <v>274</v>
      </c>
      <c r="AY15" s="488" t="s">
        <v>274</v>
      </c>
      <c r="AZ15" s="488" t="s">
        <v>274</v>
      </c>
      <c r="BA15" s="492" t="s">
        <v>340</v>
      </c>
      <c r="BD15" s="491" t="s">
        <v>339</v>
      </c>
    </row>
    <row r="16" spans="1:56">
      <c r="A16">
        <v>1</v>
      </c>
      <c r="B16" s="28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4"/>
      <c r="O16" s="4"/>
      <c r="P16" s="4"/>
      <c r="Q16" s="400"/>
      <c r="R16" s="52"/>
      <c r="S16" s="28"/>
      <c r="T16" s="28"/>
      <c r="U16" s="289"/>
      <c r="V16" s="167" t="s">
        <v>153</v>
      </c>
      <c r="X16" t="s">
        <v>48</v>
      </c>
      <c r="Y16" t="s">
        <v>51</v>
      </c>
      <c r="Z16" t="s">
        <v>52</v>
      </c>
      <c r="AA16" s="5" t="s">
        <v>53</v>
      </c>
      <c r="AB16" s="299">
        <f>IF(K16=1,AF16,AG16)</f>
        <v>0</v>
      </c>
      <c r="AC16" s="284"/>
      <c r="AD16" s="284"/>
      <c r="AE16" s="284"/>
      <c r="AF16" s="284">
        <f t="shared" ref="AF16:AF30" si="0">IF(I16&lt;=350,0,IF(I16&lt;=800,2,IF(I16&lt;=1600,4,0)))</f>
        <v>0</v>
      </c>
      <c r="AG16" s="285">
        <f>IF(I16=100,1,(IF(AND(150&lt;=I16,I16&lt;=800),1,IF(AND(800&lt;I16,I16&lt;=1600),2,IF(AND(1600&lt;I16,I16&lt;=2500),4,0)))))</f>
        <v>0</v>
      </c>
      <c r="AI16" s="299">
        <f t="shared" ref="AI16:AI30" si="1">IF(OR(I16=100,J16=100),1,IF(OR(I16&gt;100,J16&gt;100),3,0))</f>
        <v>0</v>
      </c>
      <c r="AJ16" s="284">
        <f t="shared" ref="AJ16:AJ30" si="2">IF(AND(AI16=1,K16=2),"ТЕКИ 07.239.01.00.011/012",IF(AND(AI16=3,K16=2),"ТЕКИ 07.239.01.00.001/002",IF(OR(AI16=1,K16=1),"ТЕКИ 269.01.00.001/002",0)))</f>
        <v>0</v>
      </c>
      <c r="AK16" s="285">
        <f>IF(AJ16="ТЕКИ 269.01.00.001/002",1,IF(AJ16="ТЕКИ 07.239.01.00.011/012",2,IF(AJ16="ТЕКИ 07.239.01.00.001/002",3,0)))</f>
        <v>0</v>
      </c>
      <c r="AM16" s="339">
        <f t="shared" ref="AM16:AM30" si="3">IF(O16="с",1,0)</f>
        <v>0</v>
      </c>
      <c r="AN16" s="398">
        <f t="shared" ref="AN16:AN30" si="4">IF(S16="Р",1,0)</f>
        <v>0</v>
      </c>
      <c r="AO16" s="535">
        <f>IF(T16="Р25",1,0)</f>
        <v>0</v>
      </c>
      <c r="AP16" s="398">
        <f t="shared" ref="AP16:AP30" si="5">IF(Q16&gt;0,1,0)</f>
        <v>0</v>
      </c>
      <c r="AQ16" s="340">
        <f>IF(OR( AM16=1, AN16=1, AP16=1,AO16=1),1,0)</f>
        <v>0</v>
      </c>
      <c r="AS16" s="253">
        <f t="shared" ref="AS16:AS30" si="6">IF(AQ16=1,I16,0)</f>
        <v>0</v>
      </c>
      <c r="AT16" s="174">
        <f t="shared" ref="AT16:AT30" si="7">IF(D16=2,I16,IF(D16=3,I16,0))</f>
        <v>0</v>
      </c>
      <c r="AU16" s="174">
        <f t="shared" ref="AU16:AU30" si="8">IF(D16=3,I16,0)</f>
        <v>0</v>
      </c>
      <c r="AV16" s="340">
        <f t="shared" ref="AV16:AV30" si="9">IF(AQ16=1,I16,IF(D16=2,I16,IF(D16=3,I16,IF(D16=3,I16,0))))</f>
        <v>0</v>
      </c>
      <c r="AW16" s="10"/>
      <c r="AX16" s="489">
        <f>IF(AND(D16=1,K16=2,AQ16=0),1,IF(AND(D16=1,K16=2,AQ16=1),2,IF(AND(D16=2,K16=2,AQ16=0),3,IF(AND(D16=2,K16=2,AQ16=1),4,IF(AND(D16=3,K16=2),5,0)))))</f>
        <v>0</v>
      </c>
      <c r="AY16" s="489">
        <f>IF(AX16=1,0,IF(AX16=2,2,IF(AX16=3,2,IF(AX16=4,2,IF(AX16=5,2*2,0)))))</f>
        <v>0</v>
      </c>
      <c r="AZ16" s="489">
        <f>IF(K16=2,BD16,IF(K16=1,0,0))</f>
        <v>0</v>
      </c>
      <c r="BA16" s="490" t="str">
        <f>CONCATENATE(I16,"х",J16)</f>
        <v>х</v>
      </c>
      <c r="BD16" s="490">
        <f>AY16*U16</f>
        <v>0</v>
      </c>
    </row>
    <row r="17" spans="1:56">
      <c r="A17">
        <f>1+A16</f>
        <v>2</v>
      </c>
      <c r="B17" s="28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4"/>
      <c r="O17" s="4"/>
      <c r="P17" s="4"/>
      <c r="Q17" s="528"/>
      <c r="R17" s="52"/>
      <c r="S17" s="28"/>
      <c r="T17" s="28"/>
      <c r="U17" s="289"/>
      <c r="V17" s="167" t="s">
        <v>261</v>
      </c>
      <c r="X17" s="22">
        <f t="shared" ref="X17:X30" si="10">IF(T16=$I$8,1,IF(T16=$I$9,2,0))</f>
        <v>0</v>
      </c>
      <c r="Y17" s="22">
        <f t="shared" ref="Y17:Y30" si="11">IF(O16=$I$6,1,0)</f>
        <v>0</v>
      </c>
      <c r="Z17" s="22">
        <f t="shared" ref="Z17:Z30" si="12">IF(P16=$I$7,1,0)</f>
        <v>0</v>
      </c>
      <c r="AA17" s="22">
        <f t="shared" ref="AA17:AA30" si="13">IF(P16=$J$7,1,0)</f>
        <v>0</v>
      </c>
      <c r="AB17" s="116">
        <f t="shared" ref="AB17:AB30" si="14">IF(K17=1,AF17,AG17)</f>
        <v>0</v>
      </c>
      <c r="AC17" s="4" t="e">
        <f>IF(AND(#REF!=3,K16=1),0.206*U16,IF(AND(#REF!=3,K16=2),0.219*U16,IF(AND(#REF!=1,K16=2),0.275*U16,IF(AND(#REF!=1,K16=1),0.18*U16,0))))</f>
        <v>#REF!</v>
      </c>
      <c r="AD17" s="4" t="e">
        <f>CONCATENATE(#REF!,"-",I16,"-",J16,"-",K16)</f>
        <v>#REF!</v>
      </c>
      <c r="AE17" s="401" t="str">
        <f>IFERROR( INDEX(Трудоемк!B:B,MATCH(AD17,Трудоемк!A:A,0))*U16,"-")</f>
        <v>-</v>
      </c>
      <c r="AF17" s="4">
        <f t="shared" si="0"/>
        <v>0</v>
      </c>
      <c r="AG17" s="159">
        <f t="shared" ref="AG17:AG30" si="15">IF(I17=100,1,(IF(AND(150&lt;=I17,I17&lt;=800),1,IF(AND(800&lt;I17,I17&lt;=1600),2,IF(AND(1600&lt;I17,I17&lt;=2500),4,0)))))</f>
        <v>0</v>
      </c>
      <c r="AI17" s="116">
        <f t="shared" si="1"/>
        <v>0</v>
      </c>
      <c r="AJ17" s="4">
        <f t="shared" si="2"/>
        <v>0</v>
      </c>
      <c r="AK17" s="159">
        <f t="shared" ref="AK17:AK30" si="16">IF(AJ17="ТЕКИ 269.01.00.001/002",1,IF(AJ17="ТЕКИ 07.239.01.00.011/012",2,IF(AJ17="ТЕКИ 07.239.01.00.001/002",3,0)))</f>
        <v>0</v>
      </c>
      <c r="AM17" s="197">
        <f t="shared" si="3"/>
        <v>0</v>
      </c>
      <c r="AN17" s="399">
        <f t="shared" si="4"/>
        <v>0</v>
      </c>
      <c r="AO17" s="535">
        <f t="shared" ref="AO17:AO30" si="17">IF(T17="Р25",1,0)</f>
        <v>0</v>
      </c>
      <c r="AP17" s="399">
        <f t="shared" si="5"/>
        <v>0</v>
      </c>
      <c r="AQ17" s="340">
        <f t="shared" ref="AQ17:AQ30" si="18">IF(OR( AM17=1, AN17=1, AP17=1,AO17=1),1,0)</f>
        <v>0</v>
      </c>
      <c r="AS17" s="116">
        <f t="shared" si="6"/>
        <v>0</v>
      </c>
      <c r="AT17" s="4">
        <f t="shared" si="7"/>
        <v>0</v>
      </c>
      <c r="AU17" s="4">
        <f t="shared" si="8"/>
        <v>0</v>
      </c>
      <c r="AV17" s="159">
        <f t="shared" si="9"/>
        <v>0</v>
      </c>
      <c r="AW17" s="10"/>
      <c r="AX17" s="489">
        <f t="shared" ref="AX17:AX30" si="19">IF(AND(D17=1,K17=2,AQ17=0),1,IF(AND(D17=1,K17=2,AQ17=1),2,IF(AND(D17=2,K17=2,AQ17=0),3,IF(AND(D17=2,K17=2,AQ17=1),4,IF(AND(D17=3,K17=2),5,0)))))</f>
        <v>0</v>
      </c>
      <c r="AY17" s="489">
        <f t="shared" ref="AY17:AY30" si="20">IF(AX17=1,0,IF(AX17=2,2,IF(AX17=3,2,IF(AX17=4,2,IF(AX17=5,2*2,0)))))</f>
        <v>0</v>
      </c>
      <c r="AZ17" s="489">
        <f t="shared" ref="AZ17:AZ30" si="21">IF(K17=2,BD17,IF(K17=1,0,0))</f>
        <v>0</v>
      </c>
      <c r="BA17" s="490" t="str">
        <f t="shared" ref="BA17:BA30" si="22">CONCATENATE(I17,"х",J17)</f>
        <v>х</v>
      </c>
      <c r="BD17" s="490">
        <f t="shared" ref="BD17:BD30" si="23">AY17*U17</f>
        <v>0</v>
      </c>
    </row>
    <row r="18" spans="1:56">
      <c r="A18">
        <f t="shared" ref="A18:A30" si="24">1+A17</f>
        <v>3</v>
      </c>
      <c r="B18" s="28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4"/>
      <c r="O18" s="4"/>
      <c r="P18" s="4"/>
      <c r="Q18" s="528"/>
      <c r="R18" s="52"/>
      <c r="S18" s="28"/>
      <c r="T18" s="28"/>
      <c r="U18" s="289"/>
      <c r="V18" s="167" t="s">
        <v>261</v>
      </c>
      <c r="X18" s="70">
        <f t="shared" si="10"/>
        <v>0</v>
      </c>
      <c r="Y18" s="22">
        <f t="shared" si="11"/>
        <v>0</v>
      </c>
      <c r="Z18" s="22">
        <f t="shared" si="12"/>
        <v>0</v>
      </c>
      <c r="AA18" s="22">
        <f t="shared" si="13"/>
        <v>0</v>
      </c>
      <c r="AB18" s="116">
        <f t="shared" si="14"/>
        <v>0</v>
      </c>
      <c r="AC18" s="4" t="e">
        <f>IF(AND(#REF!=3,K17=1),0.206*U17,IF(AND(#REF!=3,K17=2),0.219*U17,IF(AND(#REF!=1,K17=2),0.275*U17,IF(AND(#REF!=1,K17=1),0.18*U17,0))))</f>
        <v>#REF!</v>
      </c>
      <c r="AD18" s="4" t="e">
        <f>CONCATENATE(#REF!,"-",I17,"-",J17,"-",K17)</f>
        <v>#REF!</v>
      </c>
      <c r="AE18" s="401" t="str">
        <f>IFERROR( INDEX(Трудоемк!B:B,MATCH(AD18,Трудоемк!A:A,0))*U17,"-")</f>
        <v>-</v>
      </c>
      <c r="AF18" s="4">
        <f t="shared" si="0"/>
        <v>0</v>
      </c>
      <c r="AG18" s="159">
        <f t="shared" si="15"/>
        <v>0</v>
      </c>
      <c r="AI18" s="116">
        <f t="shared" si="1"/>
        <v>0</v>
      </c>
      <c r="AJ18" s="4">
        <f t="shared" si="2"/>
        <v>0</v>
      </c>
      <c r="AK18" s="159">
        <f t="shared" si="16"/>
        <v>0</v>
      </c>
      <c r="AM18" s="197">
        <f t="shared" si="3"/>
        <v>0</v>
      </c>
      <c r="AN18" s="399">
        <f t="shared" si="4"/>
        <v>0</v>
      </c>
      <c r="AO18" s="535">
        <f t="shared" si="17"/>
        <v>0</v>
      </c>
      <c r="AP18" s="399">
        <f t="shared" si="5"/>
        <v>0</v>
      </c>
      <c r="AQ18" s="340">
        <f t="shared" si="18"/>
        <v>0</v>
      </c>
      <c r="AS18" s="116">
        <f t="shared" si="6"/>
        <v>0</v>
      </c>
      <c r="AT18" s="4">
        <f t="shared" si="7"/>
        <v>0</v>
      </c>
      <c r="AU18" s="4">
        <f t="shared" si="8"/>
        <v>0</v>
      </c>
      <c r="AV18" s="159">
        <f t="shared" si="9"/>
        <v>0</v>
      </c>
      <c r="AW18" s="10"/>
      <c r="AX18" s="489">
        <f t="shared" si="19"/>
        <v>0</v>
      </c>
      <c r="AY18" s="489">
        <f t="shared" si="20"/>
        <v>0</v>
      </c>
      <c r="AZ18" s="489">
        <f t="shared" si="21"/>
        <v>0</v>
      </c>
      <c r="BA18" s="490" t="str">
        <f t="shared" si="22"/>
        <v>х</v>
      </c>
      <c r="BD18" s="490">
        <f t="shared" si="23"/>
        <v>0</v>
      </c>
    </row>
    <row r="19" spans="1:56">
      <c r="A19">
        <f t="shared" si="24"/>
        <v>4</v>
      </c>
      <c r="B19" s="28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4"/>
      <c r="O19" s="4"/>
      <c r="P19" s="4"/>
      <c r="Q19" s="536"/>
      <c r="R19" s="52"/>
      <c r="S19" s="28"/>
      <c r="T19" s="28"/>
      <c r="U19" s="289"/>
      <c r="V19" s="77"/>
      <c r="X19" s="70">
        <f t="shared" si="10"/>
        <v>0</v>
      </c>
      <c r="Y19" s="22">
        <f t="shared" si="11"/>
        <v>0</v>
      </c>
      <c r="Z19" s="22">
        <f t="shared" si="12"/>
        <v>0</v>
      </c>
      <c r="AA19" s="22">
        <f t="shared" si="13"/>
        <v>0</v>
      </c>
      <c r="AB19" s="116">
        <f t="shared" si="14"/>
        <v>0</v>
      </c>
      <c r="AC19" s="4" t="e">
        <f>IF(AND(#REF!=3,K18=1),0.206*U18,IF(AND(#REF!=3,K18=2),0.219*U18,IF(AND(#REF!=1,K18=2),0.275*U18,IF(AND(#REF!=1,K18=1),0.18*U18,0))))</f>
        <v>#REF!</v>
      </c>
      <c r="AD19" s="4" t="e">
        <f>CONCATENATE(#REF!,"-",I18,"-",J18,"-",K18)</f>
        <v>#REF!</v>
      </c>
      <c r="AE19" s="401" t="str">
        <f>IFERROR( INDEX(Трудоемк!B:B,MATCH(AD19,Трудоемк!A:A,0))*U18,"-")</f>
        <v>-</v>
      </c>
      <c r="AF19" s="4">
        <f t="shared" si="0"/>
        <v>0</v>
      </c>
      <c r="AG19" s="159">
        <f t="shared" si="15"/>
        <v>0</v>
      </c>
      <c r="AI19" s="116">
        <f t="shared" si="1"/>
        <v>0</v>
      </c>
      <c r="AJ19" s="4">
        <f t="shared" si="2"/>
        <v>0</v>
      </c>
      <c r="AK19" s="159">
        <f t="shared" si="16"/>
        <v>0</v>
      </c>
      <c r="AM19" s="197">
        <f t="shared" si="3"/>
        <v>0</v>
      </c>
      <c r="AN19" s="399">
        <f t="shared" si="4"/>
        <v>0</v>
      </c>
      <c r="AO19" s="535">
        <f t="shared" si="17"/>
        <v>0</v>
      </c>
      <c r="AP19" s="399">
        <f t="shared" si="5"/>
        <v>0</v>
      </c>
      <c r="AQ19" s="340">
        <f t="shared" si="18"/>
        <v>0</v>
      </c>
      <c r="AS19" s="116">
        <f t="shared" si="6"/>
        <v>0</v>
      </c>
      <c r="AT19" s="4">
        <f t="shared" si="7"/>
        <v>0</v>
      </c>
      <c r="AU19" s="4">
        <f t="shared" si="8"/>
        <v>0</v>
      </c>
      <c r="AV19" s="159">
        <f t="shared" si="9"/>
        <v>0</v>
      </c>
      <c r="AW19" s="10"/>
      <c r="AX19" s="489">
        <f t="shared" si="19"/>
        <v>0</v>
      </c>
      <c r="AY19" s="489">
        <f t="shared" si="20"/>
        <v>0</v>
      </c>
      <c r="AZ19" s="489">
        <f t="shared" si="21"/>
        <v>0</v>
      </c>
      <c r="BA19" s="490" t="str">
        <f t="shared" si="22"/>
        <v>х</v>
      </c>
      <c r="BD19" s="490">
        <f t="shared" si="23"/>
        <v>0</v>
      </c>
    </row>
    <row r="20" spans="1:56">
      <c r="A20">
        <f t="shared" si="24"/>
        <v>5</v>
      </c>
      <c r="B20" s="28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4"/>
      <c r="O20" s="4"/>
      <c r="P20" s="4"/>
      <c r="Q20" s="512"/>
      <c r="R20" s="52"/>
      <c r="S20" s="28"/>
      <c r="T20" s="28"/>
      <c r="U20" s="289"/>
      <c r="V20" s="77"/>
      <c r="X20" s="70">
        <f t="shared" si="10"/>
        <v>0</v>
      </c>
      <c r="Y20" s="22">
        <f t="shared" si="11"/>
        <v>0</v>
      </c>
      <c r="Z20" s="22">
        <f t="shared" si="12"/>
        <v>0</v>
      </c>
      <c r="AA20" s="22">
        <f t="shared" si="13"/>
        <v>0</v>
      </c>
      <c r="AB20" s="116">
        <f t="shared" si="14"/>
        <v>0</v>
      </c>
      <c r="AC20" s="4" t="e">
        <f>IF(AND(#REF!=3,K19=1),0.206*U19,IF(AND(#REF!=3,K19=2),0.219*U19,IF(AND(#REF!=1,K19=2),0.275*U19,IF(AND(#REF!=1,K19=1),0.18*U19,0))))</f>
        <v>#REF!</v>
      </c>
      <c r="AD20" s="4" t="e">
        <f>CONCATENATE(#REF!,"-",I19,"-",J19,"-",K19)</f>
        <v>#REF!</v>
      </c>
      <c r="AE20" s="401" t="str">
        <f>IFERROR( INDEX(Трудоемк!B:B,MATCH(AD20,Трудоемк!A:A,0))*U19,"-")</f>
        <v>-</v>
      </c>
      <c r="AF20" s="4">
        <f t="shared" si="0"/>
        <v>0</v>
      </c>
      <c r="AG20" s="159">
        <f t="shared" si="15"/>
        <v>0</v>
      </c>
      <c r="AI20" s="116">
        <f t="shared" si="1"/>
        <v>0</v>
      </c>
      <c r="AJ20" s="4">
        <f t="shared" si="2"/>
        <v>0</v>
      </c>
      <c r="AK20" s="159">
        <f t="shared" si="16"/>
        <v>0</v>
      </c>
      <c r="AM20" s="197">
        <f t="shared" si="3"/>
        <v>0</v>
      </c>
      <c r="AN20" s="399">
        <f t="shared" si="4"/>
        <v>0</v>
      </c>
      <c r="AO20" s="535">
        <f t="shared" si="17"/>
        <v>0</v>
      </c>
      <c r="AP20" s="399">
        <f t="shared" si="5"/>
        <v>0</v>
      </c>
      <c r="AQ20" s="340">
        <f t="shared" si="18"/>
        <v>0</v>
      </c>
      <c r="AS20" s="116">
        <f t="shared" si="6"/>
        <v>0</v>
      </c>
      <c r="AT20" s="4">
        <f t="shared" si="7"/>
        <v>0</v>
      </c>
      <c r="AU20" s="4">
        <f t="shared" si="8"/>
        <v>0</v>
      </c>
      <c r="AV20" s="159">
        <f t="shared" si="9"/>
        <v>0</v>
      </c>
      <c r="AW20" s="10"/>
      <c r="AX20" s="489">
        <f t="shared" si="19"/>
        <v>0</v>
      </c>
      <c r="AY20" s="489">
        <f t="shared" si="20"/>
        <v>0</v>
      </c>
      <c r="AZ20" s="489">
        <f t="shared" si="21"/>
        <v>0</v>
      </c>
      <c r="BA20" s="490" t="str">
        <f t="shared" si="22"/>
        <v>х</v>
      </c>
      <c r="BD20" s="490">
        <f t="shared" si="23"/>
        <v>0</v>
      </c>
    </row>
    <row r="21" spans="1:56">
      <c r="A21">
        <f t="shared" si="24"/>
        <v>6</v>
      </c>
      <c r="B21" s="28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4"/>
      <c r="O21" s="4"/>
      <c r="P21" s="4"/>
      <c r="Q21" s="511"/>
      <c r="R21" s="52"/>
      <c r="S21" s="28"/>
      <c r="T21" s="28"/>
      <c r="U21" s="289"/>
      <c r="V21" s="77"/>
      <c r="X21" s="70">
        <f t="shared" si="10"/>
        <v>0</v>
      </c>
      <c r="Y21" s="22">
        <f t="shared" si="11"/>
        <v>0</v>
      </c>
      <c r="Z21" s="22">
        <f t="shared" si="12"/>
        <v>0</v>
      </c>
      <c r="AA21" s="22">
        <f t="shared" si="13"/>
        <v>0</v>
      </c>
      <c r="AB21" s="116">
        <f t="shared" si="14"/>
        <v>0</v>
      </c>
      <c r="AC21" s="4" t="e">
        <f>IF(AND(#REF!=3,K20=1),0.206*U20,IF(AND(#REF!=3,K20=2),0.219*U20,IF(AND(#REF!=1,K20=2),0.275*U20,IF(AND(#REF!=1,K20=1),0.18*U20,0))))</f>
        <v>#REF!</v>
      </c>
      <c r="AD21" s="4" t="e">
        <f>CONCATENATE(#REF!,"-",I20,"-",J20,"-",K20)</f>
        <v>#REF!</v>
      </c>
      <c r="AE21" s="401" t="str">
        <f>IFERROR( INDEX(Трудоемк!B:B,MATCH(AD21,Трудоемк!A:A,0))*U20,"-")</f>
        <v>-</v>
      </c>
      <c r="AF21" s="4">
        <f t="shared" si="0"/>
        <v>0</v>
      </c>
      <c r="AG21" s="159">
        <f t="shared" si="15"/>
        <v>0</v>
      </c>
      <c r="AI21" s="116">
        <f t="shared" si="1"/>
        <v>0</v>
      </c>
      <c r="AJ21" s="4">
        <f t="shared" si="2"/>
        <v>0</v>
      </c>
      <c r="AK21" s="159">
        <f t="shared" si="16"/>
        <v>0</v>
      </c>
      <c r="AM21" s="197">
        <f t="shared" si="3"/>
        <v>0</v>
      </c>
      <c r="AN21" s="399">
        <f t="shared" si="4"/>
        <v>0</v>
      </c>
      <c r="AO21" s="535">
        <f t="shared" si="17"/>
        <v>0</v>
      </c>
      <c r="AP21" s="399">
        <f t="shared" si="5"/>
        <v>0</v>
      </c>
      <c r="AQ21" s="340">
        <f t="shared" si="18"/>
        <v>0</v>
      </c>
      <c r="AS21" s="116">
        <f t="shared" si="6"/>
        <v>0</v>
      </c>
      <c r="AT21" s="4">
        <f t="shared" si="7"/>
        <v>0</v>
      </c>
      <c r="AU21" s="4">
        <f t="shared" si="8"/>
        <v>0</v>
      </c>
      <c r="AV21" s="159">
        <f t="shared" si="9"/>
        <v>0</v>
      </c>
      <c r="AW21" s="10"/>
      <c r="AX21" s="489">
        <f t="shared" si="19"/>
        <v>0</v>
      </c>
      <c r="AY21" s="489">
        <f t="shared" si="20"/>
        <v>0</v>
      </c>
      <c r="AZ21" s="489">
        <f t="shared" si="21"/>
        <v>0</v>
      </c>
      <c r="BA21" s="490" t="str">
        <f t="shared" si="22"/>
        <v>х</v>
      </c>
      <c r="BD21" s="490">
        <f t="shared" si="23"/>
        <v>0</v>
      </c>
    </row>
    <row r="22" spans="1:56">
      <c r="A22">
        <f t="shared" si="24"/>
        <v>7</v>
      </c>
      <c r="B22" s="28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4"/>
      <c r="O22" s="4"/>
      <c r="P22" s="4"/>
      <c r="Q22" s="511"/>
      <c r="R22" s="52"/>
      <c r="S22" s="28"/>
      <c r="T22" s="28"/>
      <c r="U22" s="289"/>
      <c r="V22" s="77"/>
      <c r="X22" s="70">
        <f t="shared" si="10"/>
        <v>0</v>
      </c>
      <c r="Y22" s="22">
        <f t="shared" si="11"/>
        <v>0</v>
      </c>
      <c r="Z22" s="22">
        <f t="shared" si="12"/>
        <v>0</v>
      </c>
      <c r="AA22" s="22">
        <f t="shared" si="13"/>
        <v>0</v>
      </c>
      <c r="AB22" s="116">
        <f t="shared" si="14"/>
        <v>0</v>
      </c>
      <c r="AC22" s="4" t="e">
        <f>IF(AND(#REF!=3,K21=1),0.206*U21,IF(AND(#REF!=3,K21=2),0.219*U21,IF(AND(#REF!=1,K21=2),0.275*U21,IF(AND(#REF!=1,K21=1),0.18*U21,0))))</f>
        <v>#REF!</v>
      </c>
      <c r="AD22" s="4" t="e">
        <f>CONCATENATE(#REF!,"-",I21,"-",J21,"-",K21)</f>
        <v>#REF!</v>
      </c>
      <c r="AE22" s="401" t="str">
        <f>IFERROR( INDEX(Трудоемк!B:B,MATCH(AD22,Трудоемк!A:A,0))*U21,"-")</f>
        <v>-</v>
      </c>
      <c r="AF22" s="4">
        <f t="shared" si="0"/>
        <v>0</v>
      </c>
      <c r="AG22" s="159">
        <f t="shared" si="15"/>
        <v>0</v>
      </c>
      <c r="AI22" s="116">
        <f t="shared" si="1"/>
        <v>0</v>
      </c>
      <c r="AJ22" s="4">
        <f t="shared" si="2"/>
        <v>0</v>
      </c>
      <c r="AK22" s="159">
        <f t="shared" si="16"/>
        <v>0</v>
      </c>
      <c r="AM22" s="197">
        <f t="shared" si="3"/>
        <v>0</v>
      </c>
      <c r="AN22" s="399">
        <f t="shared" si="4"/>
        <v>0</v>
      </c>
      <c r="AO22" s="535">
        <f t="shared" si="17"/>
        <v>0</v>
      </c>
      <c r="AP22" s="399">
        <f t="shared" si="5"/>
        <v>0</v>
      </c>
      <c r="AQ22" s="340">
        <f t="shared" si="18"/>
        <v>0</v>
      </c>
      <c r="AS22" s="116">
        <f t="shared" si="6"/>
        <v>0</v>
      </c>
      <c r="AT22" s="4">
        <f t="shared" si="7"/>
        <v>0</v>
      </c>
      <c r="AU22" s="4">
        <f t="shared" si="8"/>
        <v>0</v>
      </c>
      <c r="AV22" s="159">
        <f t="shared" si="9"/>
        <v>0</v>
      </c>
      <c r="AW22" s="10"/>
      <c r="AX22" s="489">
        <f t="shared" si="19"/>
        <v>0</v>
      </c>
      <c r="AY22" s="489">
        <f t="shared" si="20"/>
        <v>0</v>
      </c>
      <c r="AZ22" s="489">
        <f t="shared" si="21"/>
        <v>0</v>
      </c>
      <c r="BA22" s="490" t="str">
        <f t="shared" si="22"/>
        <v>х</v>
      </c>
      <c r="BD22" s="490">
        <f t="shared" si="23"/>
        <v>0</v>
      </c>
    </row>
    <row r="23" spans="1:56">
      <c r="A23">
        <f t="shared" si="24"/>
        <v>8</v>
      </c>
      <c r="B23" s="28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4"/>
      <c r="O23" s="4"/>
      <c r="P23" s="4"/>
      <c r="Q23" s="511"/>
      <c r="R23" s="52"/>
      <c r="S23" s="28"/>
      <c r="T23" s="28"/>
      <c r="U23" s="289"/>
      <c r="V23" s="283"/>
      <c r="X23" s="70">
        <f t="shared" si="10"/>
        <v>0</v>
      </c>
      <c r="Y23" s="22">
        <f t="shared" si="11"/>
        <v>0</v>
      </c>
      <c r="Z23" s="22">
        <f t="shared" si="12"/>
        <v>0</v>
      </c>
      <c r="AA23" s="22">
        <f t="shared" si="13"/>
        <v>0</v>
      </c>
      <c r="AB23" s="116">
        <f t="shared" si="14"/>
        <v>0</v>
      </c>
      <c r="AC23" s="4" t="e">
        <f>IF(AND(#REF!=3,K22=1),0.206*U22,IF(AND(#REF!=3,K22=2),0.219*U22,IF(AND(#REF!=1,K22=2),0.275*U22,IF(AND(#REF!=1,K22=1),0.18*U22,0))))</f>
        <v>#REF!</v>
      </c>
      <c r="AD23" s="4" t="e">
        <f>CONCATENATE(#REF!,"-",I22,"-",J22,"-",K22)</f>
        <v>#REF!</v>
      </c>
      <c r="AE23" s="401" t="str">
        <f>IFERROR( INDEX(Трудоемк!B:B,MATCH(AD23,Трудоемк!A:A,0))*U22,"-")</f>
        <v>-</v>
      </c>
      <c r="AF23" s="4">
        <f t="shared" si="0"/>
        <v>0</v>
      </c>
      <c r="AG23" s="159">
        <f t="shared" si="15"/>
        <v>0</v>
      </c>
      <c r="AI23" s="116">
        <f t="shared" si="1"/>
        <v>0</v>
      </c>
      <c r="AJ23" s="4">
        <f t="shared" si="2"/>
        <v>0</v>
      </c>
      <c r="AK23" s="159">
        <f t="shared" si="16"/>
        <v>0</v>
      </c>
      <c r="AM23" s="197">
        <f t="shared" si="3"/>
        <v>0</v>
      </c>
      <c r="AN23" s="399">
        <f t="shared" si="4"/>
        <v>0</v>
      </c>
      <c r="AO23" s="535">
        <f t="shared" si="17"/>
        <v>0</v>
      </c>
      <c r="AP23" s="399">
        <f t="shared" si="5"/>
        <v>0</v>
      </c>
      <c r="AQ23" s="340">
        <f t="shared" si="18"/>
        <v>0</v>
      </c>
      <c r="AS23" s="116">
        <f t="shared" si="6"/>
        <v>0</v>
      </c>
      <c r="AT23" s="4">
        <f t="shared" si="7"/>
        <v>0</v>
      </c>
      <c r="AU23" s="4">
        <f t="shared" si="8"/>
        <v>0</v>
      </c>
      <c r="AV23" s="159">
        <f t="shared" si="9"/>
        <v>0</v>
      </c>
      <c r="AW23" s="10"/>
      <c r="AX23" s="489">
        <f t="shared" si="19"/>
        <v>0</v>
      </c>
      <c r="AY23" s="489">
        <f t="shared" si="20"/>
        <v>0</v>
      </c>
      <c r="AZ23" s="489">
        <f t="shared" si="21"/>
        <v>0</v>
      </c>
      <c r="BA23" s="490" t="str">
        <f t="shared" si="22"/>
        <v>х</v>
      </c>
      <c r="BD23" s="490">
        <f t="shared" si="23"/>
        <v>0</v>
      </c>
    </row>
    <row r="24" spans="1:56">
      <c r="A24">
        <f t="shared" si="24"/>
        <v>9</v>
      </c>
      <c r="B24" s="28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4"/>
      <c r="O24" s="4"/>
      <c r="P24" s="4"/>
      <c r="Q24" s="511"/>
      <c r="R24" s="52"/>
      <c r="S24" s="28"/>
      <c r="T24" s="28"/>
      <c r="U24" s="289"/>
      <c r="V24" s="283"/>
      <c r="X24" s="70">
        <f t="shared" si="10"/>
        <v>0</v>
      </c>
      <c r="Y24" s="22">
        <f t="shared" si="11"/>
        <v>0</v>
      </c>
      <c r="Z24" s="22">
        <f t="shared" si="12"/>
        <v>0</v>
      </c>
      <c r="AA24" s="22">
        <f t="shared" si="13"/>
        <v>0</v>
      </c>
      <c r="AB24" s="116">
        <f t="shared" si="14"/>
        <v>0</v>
      </c>
      <c r="AC24" s="4" t="e">
        <f>IF(AND(#REF!=3,K23=1),0.206*U23,IF(AND(#REF!=3,K23=2),0.219*U23,IF(AND(#REF!=1,K23=2),0.275*U23,IF(AND(#REF!=1,K23=1),0.18*U23,0))))</f>
        <v>#REF!</v>
      </c>
      <c r="AD24" s="4" t="e">
        <f>CONCATENATE(#REF!,"-",I23,"-",J23,"-",K23)</f>
        <v>#REF!</v>
      </c>
      <c r="AE24" s="401" t="str">
        <f>IFERROR( INDEX(Трудоемк!B:B,MATCH(AD24,Трудоемк!A:A,0))*U23,"-")</f>
        <v>-</v>
      </c>
      <c r="AF24" s="4">
        <f t="shared" si="0"/>
        <v>0</v>
      </c>
      <c r="AG24" s="159">
        <f t="shared" si="15"/>
        <v>0</v>
      </c>
      <c r="AI24" s="116">
        <f t="shared" si="1"/>
        <v>0</v>
      </c>
      <c r="AJ24" s="4">
        <f t="shared" si="2"/>
        <v>0</v>
      </c>
      <c r="AK24" s="159">
        <f t="shared" si="16"/>
        <v>0</v>
      </c>
      <c r="AM24" s="197">
        <f t="shared" si="3"/>
        <v>0</v>
      </c>
      <c r="AN24" s="399">
        <f t="shared" si="4"/>
        <v>0</v>
      </c>
      <c r="AO24" s="535">
        <f t="shared" si="17"/>
        <v>0</v>
      </c>
      <c r="AP24" s="399">
        <f t="shared" si="5"/>
        <v>0</v>
      </c>
      <c r="AQ24" s="340">
        <f t="shared" si="18"/>
        <v>0</v>
      </c>
      <c r="AS24" s="116">
        <f t="shared" si="6"/>
        <v>0</v>
      </c>
      <c r="AT24" s="4">
        <f t="shared" si="7"/>
        <v>0</v>
      </c>
      <c r="AU24" s="4">
        <f t="shared" si="8"/>
        <v>0</v>
      </c>
      <c r="AV24" s="159">
        <f t="shared" si="9"/>
        <v>0</v>
      </c>
      <c r="AW24" s="10"/>
      <c r="AX24" s="489">
        <f t="shared" si="19"/>
        <v>0</v>
      </c>
      <c r="AY24" s="489">
        <f t="shared" si="20"/>
        <v>0</v>
      </c>
      <c r="AZ24" s="489">
        <f t="shared" si="21"/>
        <v>0</v>
      </c>
      <c r="BA24" s="490" t="str">
        <f t="shared" si="22"/>
        <v>х</v>
      </c>
      <c r="BD24" s="490">
        <f t="shared" si="23"/>
        <v>0</v>
      </c>
    </row>
    <row r="25" spans="1:56">
      <c r="A25">
        <f t="shared" si="24"/>
        <v>10</v>
      </c>
      <c r="B25" s="28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4"/>
      <c r="O25" s="4"/>
      <c r="P25" s="4"/>
      <c r="Q25" s="511"/>
      <c r="R25" s="52"/>
      <c r="S25" s="28"/>
      <c r="T25" s="28"/>
      <c r="U25" s="289"/>
      <c r="V25" s="283"/>
      <c r="X25" s="70">
        <f t="shared" si="10"/>
        <v>0</v>
      </c>
      <c r="Y25" s="22">
        <f t="shared" si="11"/>
        <v>0</v>
      </c>
      <c r="Z25" s="22">
        <f t="shared" si="12"/>
        <v>0</v>
      </c>
      <c r="AA25" s="22">
        <f t="shared" si="13"/>
        <v>0</v>
      </c>
      <c r="AB25" s="116">
        <f t="shared" si="14"/>
        <v>0</v>
      </c>
      <c r="AC25" s="4" t="e">
        <f>IF(AND(#REF!=3,K24=1),0.206*U24,IF(AND(#REF!=3,K24=2),0.219*U24,IF(AND(#REF!=1,K24=2),0.275*U24,IF(AND(#REF!=1,K24=1),0.18*U24,0))))</f>
        <v>#REF!</v>
      </c>
      <c r="AD25" s="4" t="e">
        <f>CONCATENATE(#REF!,"-",I24,"-",J24,"-",K24)</f>
        <v>#REF!</v>
      </c>
      <c r="AE25" s="401" t="str">
        <f>IFERROR( INDEX(Трудоемк!B:B,MATCH(AD25,Трудоемк!A:A,0))*U24,"-")</f>
        <v>-</v>
      </c>
      <c r="AF25" s="4">
        <f t="shared" si="0"/>
        <v>0</v>
      </c>
      <c r="AG25" s="159">
        <f t="shared" si="15"/>
        <v>0</v>
      </c>
      <c r="AI25" s="116">
        <f t="shared" si="1"/>
        <v>0</v>
      </c>
      <c r="AJ25" s="4">
        <f t="shared" si="2"/>
        <v>0</v>
      </c>
      <c r="AK25" s="159">
        <f t="shared" si="16"/>
        <v>0</v>
      </c>
      <c r="AM25" s="197">
        <f t="shared" si="3"/>
        <v>0</v>
      </c>
      <c r="AN25" s="399">
        <f t="shared" si="4"/>
        <v>0</v>
      </c>
      <c r="AO25" s="535">
        <f t="shared" si="17"/>
        <v>0</v>
      </c>
      <c r="AP25" s="399">
        <f t="shared" si="5"/>
        <v>0</v>
      </c>
      <c r="AQ25" s="340">
        <f t="shared" si="18"/>
        <v>0</v>
      </c>
      <c r="AS25" s="116">
        <f t="shared" si="6"/>
        <v>0</v>
      </c>
      <c r="AT25" s="4">
        <f t="shared" si="7"/>
        <v>0</v>
      </c>
      <c r="AU25" s="4">
        <f t="shared" si="8"/>
        <v>0</v>
      </c>
      <c r="AV25" s="159">
        <f t="shared" si="9"/>
        <v>0</v>
      </c>
      <c r="AW25" s="10"/>
      <c r="AX25" s="489">
        <f t="shared" si="19"/>
        <v>0</v>
      </c>
      <c r="AY25" s="489">
        <f t="shared" si="20"/>
        <v>0</v>
      </c>
      <c r="AZ25" s="489">
        <f t="shared" si="21"/>
        <v>0</v>
      </c>
      <c r="BA25" s="490" t="str">
        <f t="shared" si="22"/>
        <v>х</v>
      </c>
      <c r="BD25" s="490">
        <f t="shared" si="23"/>
        <v>0</v>
      </c>
    </row>
    <row r="26" spans="1:56">
      <c r="A26">
        <f t="shared" si="24"/>
        <v>11</v>
      </c>
      <c r="B26" s="28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4"/>
      <c r="O26" s="4"/>
      <c r="P26" s="4"/>
      <c r="Q26" s="511"/>
      <c r="R26" s="52"/>
      <c r="S26" s="28"/>
      <c r="T26" s="28"/>
      <c r="U26" s="289"/>
      <c r="V26" s="283"/>
      <c r="X26" s="70">
        <f t="shared" si="10"/>
        <v>0</v>
      </c>
      <c r="Y26" s="22">
        <f t="shared" si="11"/>
        <v>0</v>
      </c>
      <c r="Z26" s="22">
        <f t="shared" si="12"/>
        <v>0</v>
      </c>
      <c r="AA26" s="22">
        <f t="shared" si="13"/>
        <v>0</v>
      </c>
      <c r="AB26" s="116">
        <f t="shared" si="14"/>
        <v>0</v>
      </c>
      <c r="AC26" s="4" t="e">
        <f>IF(AND(#REF!=3,K25=1),0.206*U25,IF(AND(#REF!=3,K25=2),0.219*U25,IF(AND(#REF!=1,K25=2),0.275*U25,IF(AND(#REF!=1,K25=1),0.18*U25,0))))</f>
        <v>#REF!</v>
      </c>
      <c r="AD26" s="4" t="e">
        <f>CONCATENATE(#REF!,"-",I25,"-",J25,"-",K25)</f>
        <v>#REF!</v>
      </c>
      <c r="AE26" s="401" t="str">
        <f>IFERROR( INDEX(Трудоемк!B:B,MATCH(AD26,Трудоемк!A:A,0))*U25,"-")</f>
        <v>-</v>
      </c>
      <c r="AF26" s="4">
        <f t="shared" si="0"/>
        <v>0</v>
      </c>
      <c r="AG26" s="159">
        <f t="shared" si="15"/>
        <v>0</v>
      </c>
      <c r="AI26" s="116">
        <f t="shared" si="1"/>
        <v>0</v>
      </c>
      <c r="AJ26" s="4">
        <f t="shared" si="2"/>
        <v>0</v>
      </c>
      <c r="AK26" s="159">
        <f t="shared" si="16"/>
        <v>0</v>
      </c>
      <c r="AM26" s="197">
        <f t="shared" si="3"/>
        <v>0</v>
      </c>
      <c r="AN26" s="399">
        <f t="shared" si="4"/>
        <v>0</v>
      </c>
      <c r="AO26" s="535">
        <f t="shared" si="17"/>
        <v>0</v>
      </c>
      <c r="AP26" s="399">
        <f t="shared" si="5"/>
        <v>0</v>
      </c>
      <c r="AQ26" s="340">
        <f t="shared" si="18"/>
        <v>0</v>
      </c>
      <c r="AS26" s="116">
        <f t="shared" si="6"/>
        <v>0</v>
      </c>
      <c r="AT26" s="4">
        <f t="shared" si="7"/>
        <v>0</v>
      </c>
      <c r="AU26" s="4">
        <f t="shared" si="8"/>
        <v>0</v>
      </c>
      <c r="AV26" s="159">
        <f t="shared" si="9"/>
        <v>0</v>
      </c>
      <c r="AW26" s="10"/>
      <c r="AX26" s="489">
        <f t="shared" si="19"/>
        <v>0</v>
      </c>
      <c r="AY26" s="489">
        <f t="shared" si="20"/>
        <v>0</v>
      </c>
      <c r="AZ26" s="489">
        <f t="shared" si="21"/>
        <v>0</v>
      </c>
      <c r="BA26" s="490" t="str">
        <f t="shared" si="22"/>
        <v>х</v>
      </c>
      <c r="BD26" s="490">
        <f t="shared" si="23"/>
        <v>0</v>
      </c>
    </row>
    <row r="27" spans="1:56">
      <c r="A27">
        <f t="shared" si="24"/>
        <v>12</v>
      </c>
      <c r="B27" s="28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4"/>
      <c r="O27" s="4"/>
      <c r="P27" s="4"/>
      <c r="Q27" s="511"/>
      <c r="R27" s="52"/>
      <c r="S27" s="28"/>
      <c r="T27" s="28"/>
      <c r="U27" s="289"/>
      <c r="V27" s="283"/>
      <c r="X27" s="70">
        <f t="shared" si="10"/>
        <v>0</v>
      </c>
      <c r="Y27" s="22">
        <f t="shared" si="11"/>
        <v>0</v>
      </c>
      <c r="Z27" s="22">
        <f t="shared" si="12"/>
        <v>0</v>
      </c>
      <c r="AA27" s="22">
        <f t="shared" si="13"/>
        <v>0</v>
      </c>
      <c r="AB27" s="116">
        <f t="shared" si="14"/>
        <v>0</v>
      </c>
      <c r="AC27" s="4" t="e">
        <f>IF(AND(#REF!=3,K26=1),0.206*U26,IF(AND(#REF!=3,K26=2),0.219*U26,IF(AND(#REF!=1,K26=2),0.275*U26,IF(AND(#REF!=1,K26=1),0.18*U26,0))))</f>
        <v>#REF!</v>
      </c>
      <c r="AD27" s="4" t="e">
        <f>CONCATENATE(#REF!,"-",I26,"-",J26,"-",K26)</f>
        <v>#REF!</v>
      </c>
      <c r="AE27" s="401" t="str">
        <f>IFERROR( INDEX(Трудоемк!B:B,MATCH(AD27,Трудоемк!A:A,0))*U26,"-")</f>
        <v>-</v>
      </c>
      <c r="AF27" s="4">
        <f t="shared" si="0"/>
        <v>0</v>
      </c>
      <c r="AG27" s="159">
        <f t="shared" si="15"/>
        <v>0</v>
      </c>
      <c r="AI27" s="116">
        <f t="shared" si="1"/>
        <v>0</v>
      </c>
      <c r="AJ27" s="4">
        <f t="shared" si="2"/>
        <v>0</v>
      </c>
      <c r="AK27" s="159">
        <f t="shared" si="16"/>
        <v>0</v>
      </c>
      <c r="AM27" s="197">
        <f t="shared" si="3"/>
        <v>0</v>
      </c>
      <c r="AN27" s="399">
        <f t="shared" si="4"/>
        <v>0</v>
      </c>
      <c r="AO27" s="535">
        <f t="shared" si="17"/>
        <v>0</v>
      </c>
      <c r="AP27" s="399">
        <f t="shared" si="5"/>
        <v>0</v>
      </c>
      <c r="AQ27" s="340">
        <f t="shared" si="18"/>
        <v>0</v>
      </c>
      <c r="AS27" s="116">
        <f t="shared" si="6"/>
        <v>0</v>
      </c>
      <c r="AT27" s="4">
        <f t="shared" si="7"/>
        <v>0</v>
      </c>
      <c r="AU27" s="4">
        <f t="shared" si="8"/>
        <v>0</v>
      </c>
      <c r="AV27" s="159">
        <f t="shared" si="9"/>
        <v>0</v>
      </c>
      <c r="AW27" s="10"/>
      <c r="AX27" s="489">
        <f t="shared" si="19"/>
        <v>0</v>
      </c>
      <c r="AY27" s="489">
        <f t="shared" si="20"/>
        <v>0</v>
      </c>
      <c r="AZ27" s="489">
        <f t="shared" si="21"/>
        <v>0</v>
      </c>
      <c r="BA27" s="490" t="str">
        <f t="shared" si="22"/>
        <v>х</v>
      </c>
      <c r="BD27" s="490">
        <f t="shared" si="23"/>
        <v>0</v>
      </c>
    </row>
    <row r="28" spans="1:56">
      <c r="A28">
        <f t="shared" si="24"/>
        <v>13</v>
      </c>
      <c r="B28" s="28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4"/>
      <c r="O28" s="486"/>
      <c r="P28" s="4"/>
      <c r="Q28" s="485"/>
      <c r="R28" s="52"/>
      <c r="S28" s="52"/>
      <c r="T28" s="28"/>
      <c r="U28" s="289"/>
      <c r="V28" s="283"/>
      <c r="X28" s="70">
        <f t="shared" si="10"/>
        <v>0</v>
      </c>
      <c r="Y28" s="22">
        <f t="shared" si="11"/>
        <v>0</v>
      </c>
      <c r="Z28" s="22">
        <f t="shared" si="12"/>
        <v>0</v>
      </c>
      <c r="AA28" s="22">
        <f t="shared" si="13"/>
        <v>0</v>
      </c>
      <c r="AB28" s="116">
        <f t="shared" si="14"/>
        <v>0</v>
      </c>
      <c r="AC28" s="4" t="e">
        <f>IF(AND(#REF!=3,K27=1),0.206*U27,IF(AND(#REF!=3,K27=2),0.219*U27,IF(AND(#REF!=1,K27=2),0.275*U27,IF(AND(#REF!=1,K27=1),0.18*U27,0))))</f>
        <v>#REF!</v>
      </c>
      <c r="AD28" s="4" t="e">
        <f>CONCATENATE(#REF!,"-",I27,"-",J27,"-",K27)</f>
        <v>#REF!</v>
      </c>
      <c r="AE28" s="401" t="str">
        <f>IFERROR( INDEX(Трудоемк!B:B,MATCH(AD28,Трудоемк!A:A,0))*U27,"-")</f>
        <v>-</v>
      </c>
      <c r="AF28" s="4">
        <f t="shared" si="0"/>
        <v>0</v>
      </c>
      <c r="AG28" s="159">
        <f t="shared" si="15"/>
        <v>0</v>
      </c>
      <c r="AI28" s="116">
        <f t="shared" si="1"/>
        <v>0</v>
      </c>
      <c r="AJ28" s="4">
        <f t="shared" si="2"/>
        <v>0</v>
      </c>
      <c r="AK28" s="159">
        <f t="shared" si="16"/>
        <v>0</v>
      </c>
      <c r="AM28" s="197">
        <f t="shared" si="3"/>
        <v>0</v>
      </c>
      <c r="AN28" s="399">
        <f t="shared" si="4"/>
        <v>0</v>
      </c>
      <c r="AO28" s="535">
        <f t="shared" si="17"/>
        <v>0</v>
      </c>
      <c r="AP28" s="399">
        <f t="shared" si="5"/>
        <v>0</v>
      </c>
      <c r="AQ28" s="340">
        <f t="shared" si="18"/>
        <v>0</v>
      </c>
      <c r="AS28" s="116">
        <f t="shared" si="6"/>
        <v>0</v>
      </c>
      <c r="AT28" s="4">
        <f t="shared" si="7"/>
        <v>0</v>
      </c>
      <c r="AU28" s="4">
        <f t="shared" si="8"/>
        <v>0</v>
      </c>
      <c r="AV28" s="159">
        <f t="shared" si="9"/>
        <v>0</v>
      </c>
      <c r="AW28" s="10"/>
      <c r="AX28" s="489">
        <f t="shared" si="19"/>
        <v>0</v>
      </c>
      <c r="AY28" s="489">
        <f t="shared" si="20"/>
        <v>0</v>
      </c>
      <c r="AZ28" s="489">
        <f t="shared" si="21"/>
        <v>0</v>
      </c>
      <c r="BA28" s="490" t="str">
        <f t="shared" si="22"/>
        <v>х</v>
      </c>
      <c r="BD28" s="490">
        <f t="shared" si="23"/>
        <v>0</v>
      </c>
    </row>
    <row r="29" spans="1:56">
      <c r="A29">
        <f t="shared" si="24"/>
        <v>14</v>
      </c>
      <c r="B29" s="11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78" t="s">
        <v>77</v>
      </c>
      <c r="O29" s="4"/>
      <c r="P29" s="4"/>
      <c r="Q29" s="334"/>
      <c r="R29" s="334"/>
      <c r="S29" s="78" t="s">
        <v>77</v>
      </c>
      <c r="T29" s="4"/>
      <c r="U29" s="282"/>
      <c r="V29" s="283"/>
      <c r="X29" s="70">
        <f t="shared" si="10"/>
        <v>0</v>
      </c>
      <c r="Y29" s="22">
        <f t="shared" si="11"/>
        <v>0</v>
      </c>
      <c r="Z29" s="22">
        <f t="shared" si="12"/>
        <v>0</v>
      </c>
      <c r="AA29" s="22">
        <f t="shared" si="13"/>
        <v>0</v>
      </c>
      <c r="AB29" s="116">
        <f t="shared" si="14"/>
        <v>0</v>
      </c>
      <c r="AC29" s="4" t="e">
        <f>IF(AND(#REF!=3,K28=1),0.206*U28,IF(AND(#REF!=3,K28=2),0.219*U28,IF(AND(#REF!=1,K28=2),0.275*U28,IF(AND(#REF!=1,K28=1),0.18*U28,0))))</f>
        <v>#REF!</v>
      </c>
      <c r="AD29" s="4" t="e">
        <f>CONCATENATE(#REF!,"-",I28,"-",J28,"-",K28)</f>
        <v>#REF!</v>
      </c>
      <c r="AE29" s="401" t="str">
        <f>IFERROR( INDEX(Трудоемк!B:B,MATCH(AD29,Трудоемк!A:A,0))*U28,"-")</f>
        <v>-</v>
      </c>
      <c r="AF29" s="4">
        <f t="shared" si="0"/>
        <v>0</v>
      </c>
      <c r="AG29" s="159">
        <f t="shared" si="15"/>
        <v>0</v>
      </c>
      <c r="AI29" s="116">
        <f t="shared" si="1"/>
        <v>0</v>
      </c>
      <c r="AJ29" s="4">
        <f t="shared" si="2"/>
        <v>0</v>
      </c>
      <c r="AK29" s="159">
        <f t="shared" si="16"/>
        <v>0</v>
      </c>
      <c r="AM29" s="197">
        <f t="shared" si="3"/>
        <v>0</v>
      </c>
      <c r="AN29" s="399">
        <f t="shared" si="4"/>
        <v>0</v>
      </c>
      <c r="AO29" s="535">
        <f t="shared" si="17"/>
        <v>0</v>
      </c>
      <c r="AP29" s="399">
        <f t="shared" si="5"/>
        <v>0</v>
      </c>
      <c r="AQ29" s="340">
        <f t="shared" si="18"/>
        <v>0</v>
      </c>
      <c r="AS29" s="116">
        <f t="shared" si="6"/>
        <v>0</v>
      </c>
      <c r="AT29" s="4">
        <f t="shared" si="7"/>
        <v>0</v>
      </c>
      <c r="AU29" s="4">
        <f t="shared" si="8"/>
        <v>0</v>
      </c>
      <c r="AV29" s="159">
        <f t="shared" si="9"/>
        <v>0</v>
      </c>
      <c r="AW29" s="10"/>
      <c r="AX29" s="489">
        <f t="shared" si="19"/>
        <v>0</v>
      </c>
      <c r="AY29" s="489">
        <f t="shared" si="20"/>
        <v>0</v>
      </c>
      <c r="AZ29" s="489">
        <f t="shared" si="21"/>
        <v>0</v>
      </c>
      <c r="BA29" s="490" t="str">
        <f t="shared" si="22"/>
        <v>х</v>
      </c>
      <c r="BD29" s="490">
        <f t="shared" si="23"/>
        <v>0</v>
      </c>
    </row>
    <row r="30" spans="1:56" ht="15.75" thickBot="1">
      <c r="A30">
        <f t="shared" si="24"/>
        <v>15</v>
      </c>
      <c r="B30" s="125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286" t="s">
        <v>77</v>
      </c>
      <c r="O30" s="126"/>
      <c r="P30" s="126"/>
      <c r="Q30" s="335"/>
      <c r="R30" s="335"/>
      <c r="S30" s="286" t="s">
        <v>77</v>
      </c>
      <c r="T30" s="126"/>
      <c r="U30" s="287"/>
      <c r="V30" s="283"/>
      <c r="X30" s="70">
        <f t="shared" si="10"/>
        <v>0</v>
      </c>
      <c r="Y30" s="22">
        <f t="shared" si="11"/>
        <v>0</v>
      </c>
      <c r="Z30" s="22">
        <f t="shared" si="12"/>
        <v>0</v>
      </c>
      <c r="AA30" s="22">
        <f t="shared" si="13"/>
        <v>0</v>
      </c>
      <c r="AB30" s="125">
        <f t="shared" si="14"/>
        <v>0</v>
      </c>
      <c r="AC30" s="126" t="e">
        <f>IF(AND(#REF!=3,K29=1),0.206*U29,IF(AND(#REF!=3,K29=2),0.219*U29,IF(AND(#REF!=1,K29=2),0.275*U29,IF(AND(#REF!=1,K29=1),0.18*U29,0))))</f>
        <v>#REF!</v>
      </c>
      <c r="AD30" s="126" t="e">
        <f>CONCATENATE(#REF!,"-",I29,"-",J29,"-",K29)</f>
        <v>#REF!</v>
      </c>
      <c r="AE30" s="373" t="str">
        <f>IFERROR( INDEX(Трудоемк!B:B,MATCH(AD30,Трудоемк!A:A,0))*U29,"-")</f>
        <v>-</v>
      </c>
      <c r="AF30" s="126">
        <f t="shared" si="0"/>
        <v>0</v>
      </c>
      <c r="AG30" s="160">
        <f t="shared" si="15"/>
        <v>0</v>
      </c>
      <c r="AI30" s="125">
        <f t="shared" si="1"/>
        <v>0</v>
      </c>
      <c r="AJ30" s="126">
        <f t="shared" si="2"/>
        <v>0</v>
      </c>
      <c r="AK30" s="160">
        <f t="shared" si="16"/>
        <v>0</v>
      </c>
      <c r="AM30" s="338">
        <f t="shared" si="3"/>
        <v>0</v>
      </c>
      <c r="AN30" s="267">
        <f t="shared" si="4"/>
        <v>0</v>
      </c>
      <c r="AO30" s="267">
        <f t="shared" si="17"/>
        <v>0</v>
      </c>
      <c r="AP30" s="267">
        <f t="shared" si="5"/>
        <v>0</v>
      </c>
      <c r="AQ30" s="340">
        <f t="shared" si="18"/>
        <v>0</v>
      </c>
      <c r="AS30" s="125">
        <f t="shared" si="6"/>
        <v>0</v>
      </c>
      <c r="AT30" s="126">
        <f t="shared" si="7"/>
        <v>0</v>
      </c>
      <c r="AU30" s="126">
        <f t="shared" si="8"/>
        <v>0</v>
      </c>
      <c r="AV30" s="160">
        <f t="shared" si="9"/>
        <v>0</v>
      </c>
      <c r="AW30" s="10"/>
      <c r="AX30" s="489">
        <f t="shared" si="19"/>
        <v>0</v>
      </c>
      <c r="AY30" s="489">
        <f t="shared" si="20"/>
        <v>0</v>
      </c>
      <c r="AZ30" s="489">
        <f t="shared" si="21"/>
        <v>0</v>
      </c>
      <c r="BA30" s="490" t="str">
        <f t="shared" si="22"/>
        <v>х</v>
      </c>
      <c r="BD30" s="490">
        <f t="shared" si="23"/>
        <v>0</v>
      </c>
    </row>
    <row r="31" spans="1:56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206"/>
      <c r="O31" s="10"/>
      <c r="P31" s="10"/>
      <c r="Q31" s="10"/>
      <c r="R31" s="10"/>
      <c r="S31" s="206"/>
      <c r="T31" s="10"/>
      <c r="U31" s="179"/>
      <c r="V31" s="247"/>
      <c r="X31" s="177"/>
      <c r="Y31" s="177"/>
      <c r="Z31" s="177"/>
      <c r="AA31" s="177"/>
      <c r="AE31" s="177"/>
    </row>
    <row r="32" spans="1:56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206"/>
      <c r="O32" s="10"/>
      <c r="P32" s="10"/>
      <c r="Q32" s="10"/>
      <c r="R32" s="10"/>
      <c r="S32" s="206"/>
      <c r="T32" s="10"/>
      <c r="U32" s="179"/>
      <c r="V32" s="247"/>
      <c r="X32" s="177"/>
      <c r="Y32" s="177"/>
      <c r="Z32" s="177"/>
      <c r="AA32" s="177"/>
      <c r="AE32" s="177"/>
      <c r="AX32" t="s">
        <v>333</v>
      </c>
    </row>
    <row r="33" spans="2:50" hidden="1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06"/>
      <c r="O33" s="10"/>
      <c r="P33" s="10"/>
      <c r="Q33" s="10"/>
      <c r="R33" s="10"/>
      <c r="S33" s="206"/>
      <c r="T33" s="10"/>
      <c r="U33" s="179"/>
      <c r="V33" s="247"/>
      <c r="X33" s="177"/>
      <c r="Y33" s="177"/>
      <c r="Z33" s="177"/>
      <c r="AA33" s="177"/>
      <c r="AE33" s="177"/>
      <c r="AX33" t="s">
        <v>334</v>
      </c>
    </row>
    <row r="34" spans="2:50" hidden="1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06"/>
      <c r="O34" s="10"/>
      <c r="P34" s="10"/>
      <c r="Q34" s="10"/>
      <c r="R34" s="10"/>
      <c r="S34" s="206"/>
      <c r="T34" s="10"/>
      <c r="U34" s="179"/>
      <c r="V34" s="247"/>
      <c r="X34" s="177"/>
      <c r="Y34" s="177"/>
      <c r="Z34" s="177"/>
      <c r="AA34" s="177"/>
      <c r="AE34" s="177"/>
      <c r="AX34" t="s">
        <v>335</v>
      </c>
    </row>
    <row r="35" spans="2:50" hidden="1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247"/>
      <c r="X35" s="177"/>
      <c r="Y35" s="177"/>
      <c r="Z35" s="177"/>
      <c r="AA35" s="177"/>
      <c r="AE35" s="177"/>
      <c r="AX35" t="s">
        <v>336</v>
      </c>
    </row>
    <row r="36" spans="2:50" hidden="1">
      <c r="B36" s="10"/>
      <c r="C36" s="10"/>
      <c r="D36" s="10"/>
      <c r="E36" s="10"/>
      <c r="F36" s="10"/>
      <c r="G36" s="10"/>
      <c r="H36" s="10"/>
      <c r="I36" s="10" t="s">
        <v>68</v>
      </c>
      <c r="J36" s="85">
        <v>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AX36" t="s">
        <v>337</v>
      </c>
    </row>
    <row r="37" spans="2:50" hidden="1">
      <c r="I37" t="s">
        <v>10</v>
      </c>
      <c r="J37">
        <v>0</v>
      </c>
      <c r="V37" s="10"/>
      <c r="AX37" t="s">
        <v>338</v>
      </c>
    </row>
    <row r="38" spans="2:50" hidden="1">
      <c r="I38" t="s">
        <v>89</v>
      </c>
      <c r="J38">
        <f>корпус!D35</f>
        <v>2.4420000000000002</v>
      </c>
    </row>
    <row r="39" spans="2:50" hidden="1">
      <c r="I39" t="s">
        <v>83</v>
      </c>
      <c r="J39">
        <f>Ножницы!G30+'Ножницы (3)'!H29+'Ножницы (4)'!H29+'Ножницы (2)'!H30</f>
        <v>1.0880000000000001</v>
      </c>
    </row>
    <row r="40" spans="2:50" hidden="1">
      <c r="I40" t="s">
        <v>90</v>
      </c>
      <c r="J40" t="e">
        <f>МРП!D35</f>
        <v>#REF!</v>
      </c>
    </row>
    <row r="41" spans="2:50" hidden="1">
      <c r="I41" t="s">
        <v>91</v>
      </c>
      <c r="J41">
        <f>Сетка!F35</f>
        <v>0</v>
      </c>
    </row>
    <row r="42" spans="2:50" hidden="1">
      <c r="I42" t="s">
        <v>140</v>
      </c>
    </row>
    <row r="43" spans="2:50" hidden="1">
      <c r="I43" t="s">
        <v>101</v>
      </c>
      <c r="J43" s="90" t="e">
        <f>J38+J39+J40+J41+#REF!</f>
        <v>#REF!</v>
      </c>
    </row>
    <row r="44" spans="2:50" hidden="1"/>
    <row r="45" spans="2:50" hidden="1"/>
  </sheetData>
  <pageMargins left="7.874015748031496E-2" right="7.874015748031496E-2" top="0.74803149606299213" bottom="0.74803149606299213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41" sqref="A41"/>
    </sheetView>
  </sheetViews>
  <sheetFormatPr defaultRowHeight="15"/>
  <cols>
    <col min="1" max="1" width="20" customWidth="1"/>
  </cols>
  <sheetData>
    <row r="1" spans="1:2">
      <c r="A1" t="s">
        <v>102</v>
      </c>
      <c r="B1">
        <v>0</v>
      </c>
    </row>
    <row r="2" spans="1:2">
      <c r="A2" t="s">
        <v>104</v>
      </c>
      <c r="B2">
        <v>3.67</v>
      </c>
    </row>
    <row r="3" spans="1:2">
      <c r="A3" t="s">
        <v>105</v>
      </c>
      <c r="B3">
        <v>3.7</v>
      </c>
    </row>
    <row r="4" spans="1:2">
      <c r="A4" t="s">
        <v>106</v>
      </c>
      <c r="B4">
        <v>3.79</v>
      </c>
    </row>
    <row r="5" spans="1:2">
      <c r="A5" t="s">
        <v>107</v>
      </c>
      <c r="B5">
        <v>5.4</v>
      </c>
    </row>
    <row r="6" spans="1:2">
      <c r="A6" t="s">
        <v>108</v>
      </c>
      <c r="B6">
        <v>5.39</v>
      </c>
    </row>
    <row r="7" spans="1:2">
      <c r="A7" t="s">
        <v>109</v>
      </c>
      <c r="B7">
        <v>4.08</v>
      </c>
    </row>
    <row r="8" spans="1:2">
      <c r="A8" s="20" t="s">
        <v>103</v>
      </c>
      <c r="B8" s="20">
        <v>2</v>
      </c>
    </row>
    <row r="9" spans="1:2">
      <c r="A9" t="s">
        <v>110</v>
      </c>
      <c r="B9">
        <v>5.7</v>
      </c>
    </row>
    <row r="10" spans="1:2">
      <c r="A10" t="s">
        <v>111</v>
      </c>
      <c r="B10">
        <v>5.9</v>
      </c>
    </row>
    <row r="11" spans="1:2">
      <c r="A11" t="s">
        <v>112</v>
      </c>
      <c r="B11">
        <v>4.6500000000000004</v>
      </c>
    </row>
    <row r="12" spans="1:2">
      <c r="A12" t="s">
        <v>114</v>
      </c>
      <c r="B12">
        <v>5.85</v>
      </c>
    </row>
    <row r="13" spans="1:2">
      <c r="A13" t="s">
        <v>113</v>
      </c>
      <c r="B13">
        <v>5.71</v>
      </c>
    </row>
    <row r="14" spans="1:2">
      <c r="A14" t="s">
        <v>115</v>
      </c>
      <c r="B14">
        <v>6.03</v>
      </c>
    </row>
    <row r="15" spans="1:2">
      <c r="A15" t="s">
        <v>116</v>
      </c>
      <c r="B15">
        <v>4.45</v>
      </c>
    </row>
    <row r="16" spans="1:2">
      <c r="A16" t="s">
        <v>117</v>
      </c>
      <c r="B16">
        <v>3.84</v>
      </c>
    </row>
    <row r="17" spans="1:2">
      <c r="A17" t="s">
        <v>118</v>
      </c>
      <c r="B17">
        <v>3.98</v>
      </c>
    </row>
    <row r="18" spans="1:2">
      <c r="A18" t="s">
        <v>119</v>
      </c>
      <c r="B18">
        <v>4.68</v>
      </c>
    </row>
    <row r="19" spans="1:2">
      <c r="A19" t="s">
        <v>120</v>
      </c>
      <c r="B19">
        <v>4.7300000000000004</v>
      </c>
    </row>
    <row r="20" spans="1:2">
      <c r="A20" t="s">
        <v>121</v>
      </c>
      <c r="B20">
        <v>3.67</v>
      </c>
    </row>
    <row r="22" spans="1:2">
      <c r="B22">
        <v>400</v>
      </c>
    </row>
    <row r="23" spans="1:2">
      <c r="B23">
        <v>400</v>
      </c>
    </row>
    <row r="24" spans="1:2">
      <c r="B24">
        <v>400</v>
      </c>
    </row>
    <row r="25" spans="1:2">
      <c r="B25">
        <v>400</v>
      </c>
    </row>
    <row r="26" spans="1:2">
      <c r="B26">
        <v>400</v>
      </c>
    </row>
    <row r="27" spans="1:2">
      <c r="B27">
        <v>400</v>
      </c>
    </row>
    <row r="28" spans="1:2">
      <c r="B28">
        <v>400</v>
      </c>
    </row>
    <row r="29" spans="1:2">
      <c r="B29">
        <v>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49"/>
  <sheetViews>
    <sheetView view="pageBreakPreview" zoomScale="30" zoomScaleNormal="38" zoomScaleSheetLayoutView="30" workbookViewId="0">
      <selection activeCell="AJ2" sqref="AJ2"/>
    </sheetView>
  </sheetViews>
  <sheetFormatPr defaultRowHeight="15"/>
  <cols>
    <col min="5" max="5" width="3.42578125" customWidth="1"/>
    <col min="7" max="7" width="25.7109375" customWidth="1"/>
    <col min="8" max="8" width="0" hidden="1" customWidth="1"/>
    <col min="9" max="9" width="16.140625" customWidth="1"/>
    <col min="10" max="11" width="0" hidden="1" customWidth="1"/>
    <col min="12" max="12" width="39" customWidth="1"/>
    <col min="13" max="13" width="10.5703125" customWidth="1"/>
    <col min="14" max="14" width="13.5703125" customWidth="1"/>
    <col min="15" max="15" width="11.140625" customWidth="1"/>
    <col min="16" max="16" width="7.5703125" customWidth="1"/>
    <col min="17" max="17" width="28" customWidth="1"/>
    <col min="18" max="18" width="11.5703125" customWidth="1"/>
    <col min="19" max="19" width="0" hidden="1" customWidth="1"/>
    <col min="20" max="20" width="11.140625" customWidth="1"/>
    <col min="21" max="21" width="13" customWidth="1"/>
    <col min="22" max="22" width="10" customWidth="1"/>
    <col min="23" max="23" width="6.42578125" customWidth="1"/>
    <col min="24" max="24" width="19" customWidth="1"/>
    <col min="25" max="25" width="6.42578125" customWidth="1"/>
    <col min="26" max="26" width="14.7109375" customWidth="1"/>
    <col min="27" max="27" width="6.42578125" customWidth="1"/>
    <col min="28" max="28" width="10.42578125" customWidth="1"/>
    <col min="29" max="29" width="8.85546875" customWidth="1"/>
    <col min="30" max="30" width="17.85546875" customWidth="1"/>
    <col min="31" max="31" width="9.140625" customWidth="1"/>
    <col min="32" max="32" width="27.140625" customWidth="1"/>
    <col min="33" max="33" width="12" customWidth="1"/>
    <col min="34" max="34" width="8.5703125" customWidth="1"/>
    <col min="35" max="35" width="11.140625" customWidth="1"/>
    <col min="36" max="36" width="26" customWidth="1"/>
    <col min="37" max="37" width="9.140625" customWidth="1"/>
    <col min="39" max="39" width="15.42578125" style="1" customWidth="1"/>
    <col min="42" max="42" width="10.5703125" style="250" hidden="1" customWidth="1"/>
    <col min="43" max="45" width="0" style="250" hidden="1" customWidth="1"/>
    <col min="46" max="46" width="12.42578125" style="250" hidden="1" customWidth="1"/>
    <col min="47" max="52" width="0" hidden="1" customWidth="1"/>
    <col min="53" max="53" width="13.85546875" hidden="1" customWidth="1"/>
    <col min="54" max="54" width="10.28515625" hidden="1" customWidth="1"/>
    <col min="55" max="56" width="16.5703125" hidden="1" customWidth="1"/>
    <col min="57" max="64" width="0" hidden="1" customWidth="1"/>
  </cols>
  <sheetData>
    <row r="1" spans="2:63">
      <c r="E1" t="s">
        <v>49</v>
      </c>
    </row>
    <row r="2" spans="2:63" ht="47.25" thickBot="1">
      <c r="E2" s="33" t="s">
        <v>146</v>
      </c>
      <c r="F2" s="107"/>
      <c r="G2" s="108"/>
      <c r="H2" s="108"/>
      <c r="I2" s="109"/>
      <c r="AJ2" s="249">
        <f>B3</f>
        <v>4444</v>
      </c>
    </row>
    <row r="3" spans="2:63" ht="26.25">
      <c r="B3" s="612">
        <f>'Исходные данные'!J12</f>
        <v>4444</v>
      </c>
      <c r="C3" s="612"/>
      <c r="F3" s="110"/>
      <c r="G3" s="110"/>
      <c r="H3" s="110"/>
      <c r="I3" s="109"/>
      <c r="AP3" s="579" t="s">
        <v>256</v>
      </c>
      <c r="AQ3" s="580"/>
      <c r="AR3" s="580"/>
      <c r="AS3" s="580"/>
      <c r="AT3" s="580"/>
      <c r="AU3" s="580"/>
      <c r="AV3" s="580"/>
      <c r="AW3" s="580"/>
      <c r="AX3" s="581" t="s">
        <v>259</v>
      </c>
      <c r="AY3" s="581"/>
      <c r="AZ3" s="582"/>
    </row>
    <row r="4" spans="2:63" ht="27.75" customHeight="1" thickBot="1">
      <c r="B4" s="612"/>
      <c r="C4" s="612"/>
      <c r="F4" s="613" t="s">
        <v>147</v>
      </c>
      <c r="G4" s="613"/>
      <c r="H4" s="613"/>
      <c r="I4" s="613"/>
      <c r="J4" s="613"/>
      <c r="K4" s="613"/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3"/>
      <c r="X4" s="613"/>
      <c r="Y4" s="613"/>
      <c r="Z4" s="613"/>
      <c r="AA4" s="613"/>
      <c r="AB4" s="613"/>
      <c r="AC4" s="613"/>
      <c r="AD4" s="613"/>
      <c r="AE4" s="613"/>
      <c r="AF4" s="613"/>
      <c r="AG4" s="613"/>
      <c r="AH4" s="613"/>
      <c r="AI4" s="613"/>
      <c r="AJ4" s="613"/>
      <c r="AP4" s="592" t="s">
        <v>253</v>
      </c>
      <c r="AQ4" s="593"/>
      <c r="AR4" s="593"/>
      <c r="AS4" s="593"/>
      <c r="AT4" s="593"/>
      <c r="AU4" s="559" t="s">
        <v>254</v>
      </c>
      <c r="AV4" s="559"/>
      <c r="AW4" s="317"/>
      <c r="AX4" s="583"/>
      <c r="AY4" s="583"/>
      <c r="AZ4" s="584"/>
    </row>
    <row r="5" spans="2:63" ht="79.5" customHeight="1">
      <c r="B5" s="612"/>
      <c r="C5" s="612"/>
      <c r="D5" s="111"/>
      <c r="E5" s="615" t="s">
        <v>148</v>
      </c>
      <c r="F5" s="617" t="s">
        <v>149</v>
      </c>
      <c r="G5" s="617" t="s">
        <v>150</v>
      </c>
      <c r="H5" s="269" t="s">
        <v>151</v>
      </c>
      <c r="I5" s="614" t="s">
        <v>260</v>
      </c>
      <c r="J5" s="614"/>
      <c r="K5" s="614"/>
      <c r="L5" s="614"/>
      <c r="M5" s="619" t="s">
        <v>262</v>
      </c>
      <c r="N5" s="614" t="s">
        <v>170</v>
      </c>
      <c r="O5" s="614"/>
      <c r="P5" s="614"/>
      <c r="Q5" s="614" t="s">
        <v>220</v>
      </c>
      <c r="R5" s="402" t="s">
        <v>282</v>
      </c>
      <c r="S5" s="402" t="s">
        <v>153</v>
      </c>
      <c r="T5" s="402" t="s">
        <v>312</v>
      </c>
      <c r="U5" s="571" t="s">
        <v>257</v>
      </c>
      <c r="V5" s="571" t="s">
        <v>311</v>
      </c>
      <c r="W5" s="598" t="s">
        <v>330</v>
      </c>
      <c r="X5" s="622" t="s">
        <v>295</v>
      </c>
      <c r="Y5" s="598" t="s">
        <v>294</v>
      </c>
      <c r="Z5" s="598" t="s">
        <v>292</v>
      </c>
      <c r="AA5" s="598" t="s">
        <v>294</v>
      </c>
      <c r="AB5" s="614" t="s">
        <v>302</v>
      </c>
      <c r="AC5" s="614"/>
      <c r="AD5" s="614"/>
      <c r="AE5" s="614"/>
      <c r="AF5" s="598" t="s">
        <v>220</v>
      </c>
      <c r="AG5" s="614" t="s">
        <v>278</v>
      </c>
      <c r="AH5" s="614"/>
      <c r="AI5" s="614" t="s">
        <v>280</v>
      </c>
      <c r="AJ5" s="614"/>
      <c r="AK5" s="614" t="s">
        <v>265</v>
      </c>
      <c r="AL5" s="614"/>
      <c r="AM5" s="598" t="s">
        <v>297</v>
      </c>
      <c r="AN5" s="598" t="s">
        <v>294</v>
      </c>
      <c r="AP5" s="594" t="s">
        <v>255</v>
      </c>
      <c r="AQ5" s="595"/>
      <c r="AR5" s="587" t="s">
        <v>250</v>
      </c>
      <c r="AS5" s="587"/>
      <c r="AT5" s="587" t="s">
        <v>257</v>
      </c>
      <c r="AU5" s="590" t="s">
        <v>251</v>
      </c>
      <c r="AV5" s="590" t="s">
        <v>252</v>
      </c>
      <c r="AW5" s="585" t="s">
        <v>257</v>
      </c>
      <c r="AX5" s="589" t="s">
        <v>258</v>
      </c>
      <c r="AY5" s="589"/>
      <c r="AZ5" s="585" t="s">
        <v>257</v>
      </c>
      <c r="BA5" s="596" t="s">
        <v>263</v>
      </c>
      <c r="BB5" s="577" t="s">
        <v>283</v>
      </c>
      <c r="BC5" s="610" t="s">
        <v>274</v>
      </c>
      <c r="BD5" s="602" t="s">
        <v>343</v>
      </c>
      <c r="BE5" s="575" t="s">
        <v>344</v>
      </c>
      <c r="BF5" s="577" t="s">
        <v>324</v>
      </c>
      <c r="BG5" s="577" t="s">
        <v>325</v>
      </c>
      <c r="BH5" s="600" t="s">
        <v>342</v>
      </c>
      <c r="BI5" s="573" t="s">
        <v>332</v>
      </c>
    </row>
    <row r="6" spans="2:63" ht="39" customHeight="1" thickBot="1">
      <c r="B6" s="612"/>
      <c r="C6" s="612"/>
      <c r="D6" s="111"/>
      <c r="E6" s="616"/>
      <c r="F6" s="618"/>
      <c r="G6" s="618"/>
      <c r="H6" s="270"/>
      <c r="I6" s="403" t="s">
        <v>266</v>
      </c>
      <c r="J6" s="403" t="s">
        <v>156</v>
      </c>
      <c r="K6" s="403" t="s">
        <v>155</v>
      </c>
      <c r="L6" s="404" t="s">
        <v>220</v>
      </c>
      <c r="M6" s="620"/>
      <c r="N6" s="403" t="s">
        <v>267</v>
      </c>
      <c r="O6" s="403" t="s">
        <v>268</v>
      </c>
      <c r="P6" s="403" t="s">
        <v>269</v>
      </c>
      <c r="Q6" s="621"/>
      <c r="R6" s="403" t="s">
        <v>169</v>
      </c>
      <c r="S6" s="403"/>
      <c r="T6" s="403" t="s">
        <v>169</v>
      </c>
      <c r="U6" s="572"/>
      <c r="V6" s="572"/>
      <c r="W6" s="599"/>
      <c r="X6" s="623"/>
      <c r="Y6" s="599"/>
      <c r="Z6" s="599"/>
      <c r="AA6" s="599"/>
      <c r="AB6" s="404" t="s">
        <v>155</v>
      </c>
      <c r="AC6" s="404" t="s">
        <v>2</v>
      </c>
      <c r="AD6" s="404" t="s">
        <v>156</v>
      </c>
      <c r="AE6" s="404" t="s">
        <v>2</v>
      </c>
      <c r="AF6" s="599"/>
      <c r="AG6" s="314" t="s">
        <v>279</v>
      </c>
      <c r="AH6" s="314" t="s">
        <v>169</v>
      </c>
      <c r="AI6" s="314" t="s">
        <v>279</v>
      </c>
      <c r="AJ6" s="314" t="s">
        <v>169</v>
      </c>
      <c r="AK6" s="412" t="s">
        <v>23</v>
      </c>
      <c r="AL6" s="412" t="s">
        <v>169</v>
      </c>
      <c r="AM6" s="599"/>
      <c r="AN6" s="599"/>
      <c r="AP6" s="321" t="s">
        <v>155</v>
      </c>
      <c r="AQ6" s="322" t="s">
        <v>156</v>
      </c>
      <c r="AR6" s="322" t="s">
        <v>155</v>
      </c>
      <c r="AS6" s="322" t="s">
        <v>156</v>
      </c>
      <c r="AT6" s="588"/>
      <c r="AU6" s="591"/>
      <c r="AV6" s="591"/>
      <c r="AW6" s="586"/>
      <c r="AX6" s="323" t="s">
        <v>155</v>
      </c>
      <c r="AY6" s="323" t="s">
        <v>156</v>
      </c>
      <c r="AZ6" s="586"/>
      <c r="BA6" s="597"/>
      <c r="BB6" s="578"/>
      <c r="BC6" s="611"/>
      <c r="BD6" s="603"/>
      <c r="BE6" s="576"/>
      <c r="BF6" s="578"/>
      <c r="BG6" s="578"/>
      <c r="BH6" s="601"/>
      <c r="BI6" s="574"/>
    </row>
    <row r="7" spans="2:63" ht="39" customHeight="1" thickBot="1">
      <c r="B7" s="612"/>
      <c r="C7" s="612"/>
      <c r="E7" s="388">
        <v>1</v>
      </c>
      <c r="F7" s="389">
        <f>'Исходные данные'!B16</f>
        <v>0</v>
      </c>
      <c r="G7" s="390" t="str">
        <f>CONCATENATE('Исходные данные'!C16,"-",'Исходные данные'!D16,'Исходные данные'!E16,'Исходные данные'!H16,'Исходные данные'!I16,"х",'Исходные данные'!J16,"  ",'Исходные данные'!K16,'Исходные данные'!L16,"-",'Исходные данные'!M16,)</f>
        <v>-х  -</v>
      </c>
      <c r="H7" s="389"/>
      <c r="I7" s="510">
        <f>IF('Исходные данные'!K16=2,BJ7,IF('Исходные данные'!K16=1,AZ7,0))</f>
        <v>0</v>
      </c>
      <c r="J7" s="447"/>
      <c r="K7" s="447"/>
      <c r="L7" s="447">
        <f>'Исходные данные'!AJ16</f>
        <v>0</v>
      </c>
      <c r="M7" s="447">
        <f>IF(OR(I7=0,I7="0х0"),0,'Исходные данные'!U16)</f>
        <v>0</v>
      </c>
      <c r="N7" s="447">
        <f>IF('Исходные данные'!K16=1,'Исходные данные'!I16/'Исходные данные'!AF16+28.6,0)</f>
        <v>0</v>
      </c>
      <c r="O7" s="447">
        <f>IF('Исходные данные'!K16=1,'Исходные данные'!J16-17+48.6,0)</f>
        <v>0</v>
      </c>
      <c r="P7" s="447">
        <f>IF('Исходные данные'!K16=1,N7-BA7-24.3,0)</f>
        <v>0</v>
      </c>
      <c r="Q7" s="446">
        <f>IF('Исходные данные'!AK16=1,"07.277.00.00.016",0)</f>
        <v>0</v>
      </c>
      <c r="R7" s="447">
        <f>IF('Исходные данные'!K16=1,'Исходные данные'!AF16*2,0)</f>
        <v>0</v>
      </c>
      <c r="S7" s="447">
        <f>M7</f>
        <v>0</v>
      </c>
      <c r="T7" s="447">
        <f>R7*M7</f>
        <v>0</v>
      </c>
      <c r="U7" s="447">
        <f>IF('Исходные данные'!P16="МРЗ",'Исходные данные'!BA16,IF('Исходные данные'!P16="МРП",'Исходные данные'!BA16,0))</f>
        <v>0</v>
      </c>
      <c r="V7" s="447">
        <f>'Исходные данные'!P16</f>
        <v>0</v>
      </c>
      <c r="W7" s="447">
        <f>IF(V7="МРП",'Исходные данные'!U16,IF(V7="МРЗ",'Исходные данные'!U16,0))</f>
        <v>0</v>
      </c>
      <c r="X7" s="447">
        <f>IF('Исходные данные'!S16="р",'Исходные данные'!BA16,0)</f>
        <v>0</v>
      </c>
      <c r="Y7" s="447">
        <f>IF('Исходные данные'!S16="Р",'Исходные данные'!U16,0)</f>
        <v>0</v>
      </c>
      <c r="Z7" s="447">
        <f>IF('Исходные данные'!O16="с",'Исходные данные'!BA16,0)</f>
        <v>0</v>
      </c>
      <c r="AA7" s="447">
        <f>IF('Исходные данные'!O16="с",'Исходные данные'!U16,0)</f>
        <v>0</v>
      </c>
      <c r="AB7" s="493">
        <f>IF('Исходные данные'!AZ16&gt;0,'Исходные данные'!I16,0)</f>
        <v>0</v>
      </c>
      <c r="AC7" s="493">
        <f>'Исходные данные'!BD16</f>
        <v>0</v>
      </c>
      <c r="AD7" s="493">
        <f>IF('Исходные данные'!AZ16&gt;0,'Исходные данные'!J16,0)</f>
        <v>0</v>
      </c>
      <c r="AE7" s="493">
        <f>AC7</f>
        <v>0</v>
      </c>
      <c r="AF7" s="493">
        <f>IF(AND('Исходные данные'!AQ16=1,AC7&gt;0),"07.239.06.00.022",IF(AND('Исходные данные'!D16=2,AC7&gt;0),"07.239.05.00.021",IF(AND('Исходные данные'!D16=3,AC7&gt;0),"07.239.07.00.001",0)))</f>
        <v>0</v>
      </c>
      <c r="AG7" s="447">
        <f>IF('Исходные данные'!K16=1,'Исходные данные'!J16+20,0)</f>
        <v>0</v>
      </c>
      <c r="AH7" s="447">
        <f>IF('Исходные данные'!K16=1,BB7*'Исходные данные'!U16,0)</f>
        <v>0</v>
      </c>
      <c r="AI7" s="447">
        <f>IF('Исходные данные'!K16=1,'Исходные данные'!J16+34.6,0)</f>
        <v>0</v>
      </c>
      <c r="AJ7" s="447">
        <f>IF('Исходные данные'!K16=1,BG7,0)</f>
        <v>0</v>
      </c>
      <c r="AK7" s="447">
        <f>BD7</f>
        <v>0</v>
      </c>
      <c r="AL7" s="447">
        <f>BE7</f>
        <v>0</v>
      </c>
      <c r="AM7" s="493">
        <f>IF('Исходные данные'!AP16&gt;0,'Исходные данные'!BA16,0)</f>
        <v>0</v>
      </c>
      <c r="AN7" s="497">
        <f>IF('Исходные данные'!Q16&gt;0,'Исходные данные'!U16,0)</f>
        <v>0</v>
      </c>
      <c r="AP7" s="500">
        <f>IF('Исходные данные'!I16=100,0,IF('Исходные данные'!I16=150,0,IF('Исходные данные'!I16=200,0,IF('Исходные данные'!I16=250,0,IF('Исходные данные'!I16=300,0,IF('Исходные данные'!I16=350,0,IF('Исходные данные'!I16=400,0,IF('Исходные данные'!I16=450,0,IF('Исходные данные'!I16=500,0,IF('Исходные данные'!I16=550,0,IF('Исходные данные'!I16=600,0,IF('Исходные данные'!I16=650,0,IF('Исходные данные'!I16=700,0,IF('Исходные данные'!I16=750,0,IF('Исходные данные'!I16=800,0,IF('Исходные данные'!I16=900,0,IF('Исходные данные'!I16=950,0,IF('Исходные данные'!I16=1000,0,IF('Исходные данные'!I16=1050,0,IF('Исходные данные'!I16=1100,0,IF('Исходные данные'!I16=1150,0,IF('Исходные данные'!I16=1200,'Исходные данные'!I16,IF('Исходные данные'!I16=1250,'Исходные данные'!I16,IF('Исходные данные'!I16=1300,'Исходные данные'!I16,'Исходные данные'!I16))))))))))))))))))))))))</f>
        <v>0</v>
      </c>
      <c r="AQ7" s="501">
        <f>IF('Исходные данные'!J16=100,0,IF('Исходные данные'!J16=150,0,IF('Исходные данные'!J16=200,0,IF('Исходные данные'!J16=250,0,IF('Исходные данные'!J16=300,0,IF('Исходные данные'!J16=350,0,IF('Исходные данные'!J16=400,0,IF('Исходные данные'!J16=450,0,IF('Исходные данные'!J16=500,0,IF('Исходные данные'!J16=550,0,IF('Исходные данные'!J16=600,0,IF('Исходные данные'!J16=650,0,IF('Исходные данные'!J16=700,0,IF('Исходные данные'!J16=750,0,IF('Исходные данные'!J16=800,0,IF('Исходные данные'!J16=900,0,IF('Исходные данные'!J16=950,0,IF('Исходные данные'!J16=1000,0,IF('Исходные данные'!J16=1050,0,IF('Исходные данные'!J16=1100,0,IF('Исходные данные'!J16=1150,0,IF('Исходные данные'!J16=1200,0,IF('Исходные данные'!J16=1250,0,IF('Исходные данные'!J16=1300,0,'Исходные данные'!J16))))))))))))))))))))))))</f>
        <v>0</v>
      </c>
      <c r="AR7" s="501">
        <f>'Исходные данные'!I16</f>
        <v>0</v>
      </c>
      <c r="AS7" s="501">
        <f>'Исходные данные'!J16</f>
        <v>0</v>
      </c>
      <c r="AT7" s="502" t="str">
        <f>CONCATENATE(AP7,"х",AQ7,)</f>
        <v>0х0</v>
      </c>
      <c r="AU7" s="501">
        <f>IF('Исходные данные'!K16=2,IF(OR('Исходные данные'!I16&lt;150,'Исходные данные'!J16&lt;150),'Исходные данные'!I16,),0)</f>
        <v>0</v>
      </c>
      <c r="AV7" s="501">
        <f>IF(OR('Исходные данные'!I16&lt;150,'Исходные данные'!J16&lt;150),'Исходные данные'!J16,0)</f>
        <v>0</v>
      </c>
      <c r="AW7" s="503" t="str">
        <f>CONCATENATE(AU7,"х",AV7,)</f>
        <v>0х0</v>
      </c>
      <c r="AX7" s="503">
        <f>IF('Исходные данные'!K16=1,'Исходные данные'!I16,0)</f>
        <v>0</v>
      </c>
      <c r="AY7" s="503">
        <f>IF('Исходные данные'!K16=1,'Исходные данные'!J16,0)</f>
        <v>0</v>
      </c>
      <c r="AZ7" s="503" t="str">
        <f>CONCATENATE(AX7,"х",AY7,)</f>
        <v>0х0</v>
      </c>
      <c r="BA7" s="504">
        <f>IF('Исходные данные'!K16=1,('Исходные данные'!I16/'Исходные данные'!AF16-14)/2-13,0)</f>
        <v>0</v>
      </c>
      <c r="BB7" s="284">
        <f>IF(AND(350&lt;='Исходные данные'!I16,'Исходные данные'!I16&lt;=800),2,IF(AND(800&lt;'Исходные данные'!I16,'Исходные данные'!I16&lt;=1600),6,0))</f>
        <v>0</v>
      </c>
      <c r="BC7" s="505" t="str">
        <f>CONCATENATE('Исходные данные'!I16,"х",'Исходные данные'!J16)</f>
        <v>х</v>
      </c>
      <c r="BD7" s="513">
        <f>IF(OR(AX7&gt;0,AV7&gt;0),'Исходные данные'!I16/'Исходные данные'!AB16-22,0)</f>
        <v>0</v>
      </c>
      <c r="BE7" s="514">
        <f>BK7</f>
        <v>0</v>
      </c>
      <c r="BF7" s="284">
        <f>IF(AND(350&lt;='Исходные данные'!I16,'Исходные данные'!I16&lt;=800),1,IF(AND(800&lt;'Исходные данные'!I16,'Исходные данные'!I16&lt;=1600),2,0))</f>
        <v>0</v>
      </c>
      <c r="BG7" s="284">
        <f>BF7*'Исходные данные'!U16</f>
        <v>0</v>
      </c>
      <c r="BH7" s="285">
        <f>IF(OR('Исходные данные'!I16&lt;150,'Исходные данные'!J16&lt;150),1,IF(OR('Исходные данные'!I16&gt;150,'Исходные данные'!J16&gt;150),2,0))</f>
        <v>1</v>
      </c>
      <c r="BI7" s="167" t="str">
        <f>CONCATENATE('Исходные данные'!I16,"х",'Исходные данные'!J16)</f>
        <v>х</v>
      </c>
      <c r="BJ7">
        <f>IF(AND('Исходные данные'!K16=2,BH7=1),AW7,IF(AND('Исходные данные'!K16=2,BH7=2),AT7,0))</f>
        <v>0</v>
      </c>
      <c r="BK7">
        <f>IF(AV7&gt;0,'Исходные данные'!AB16*2*'Исходные данные'!U16,IF(AX7&gt;0,'Исходные данные'!AB16*2*'Исходные данные'!U16,0))</f>
        <v>0</v>
      </c>
    </row>
    <row r="8" spans="2:63" ht="42" customHeight="1" thickBot="1">
      <c r="B8" s="612"/>
      <c r="C8" s="612"/>
      <c r="D8" t="b">
        <f>IF(OR('Исходные данные'!I17&gt;=150,'Исходные данные'!K17=2,AT8),IF(OR('Исходные данные'!I17&lt;150,'Исходные данные'!K17=2,'Задание на ТРУМПФ'!AW8),IF('Исходные данные'!K17=1,'Задание на ТРУМПФ'!AZ8,0)))</f>
        <v>0</v>
      </c>
      <c r="E8" s="392">
        <f>E7+1</f>
        <v>2</v>
      </c>
      <c r="F8" s="391">
        <f>'Исходные данные'!B17</f>
        <v>0</v>
      </c>
      <c r="G8" s="395" t="str">
        <f>CONCATENATE('Исходные данные'!C17,"-",'Исходные данные'!D17,'Исходные данные'!E17,'Исходные данные'!H17,'Исходные данные'!I17,"х",'Исходные данные'!J17,"  ",'Исходные данные'!K17,'Исходные данные'!L17,"-",'Исходные данные'!M17,)</f>
        <v>-х  -</v>
      </c>
      <c r="H8" s="391"/>
      <c r="I8" s="510">
        <f>IF('Исходные данные'!K17=2,BJ8,IF('Исходные данные'!K17=1,AZ8,0))</f>
        <v>0</v>
      </c>
      <c r="J8" s="447"/>
      <c r="K8" s="447"/>
      <c r="L8" s="447">
        <f>'Исходные данные'!AJ17</f>
        <v>0</v>
      </c>
      <c r="M8" s="447">
        <f>IF(OR(I8=0,I8="0х0"),0,'Исходные данные'!U17)</f>
        <v>0</v>
      </c>
      <c r="N8" s="449">
        <f>IF('Исходные данные'!K17=1,'Исходные данные'!I17/'Исходные данные'!AF17+28.6,0)</f>
        <v>0</v>
      </c>
      <c r="O8" s="449">
        <f>IF('Исходные данные'!K17=1,'Исходные данные'!J17-17+48.6,0)</f>
        <v>0</v>
      </c>
      <c r="P8" s="449">
        <f>IF('Исходные данные'!K17=1,N8-BA8-24.3,0)</f>
        <v>0</v>
      </c>
      <c r="Q8" s="448">
        <f>IF('Исходные данные'!AK17=1,"07.277.00.00.016",0)</f>
        <v>0</v>
      </c>
      <c r="R8" s="449">
        <f>IF('Исходные данные'!K17=1,'Исходные данные'!AF17*2,0)</f>
        <v>0</v>
      </c>
      <c r="S8" s="449">
        <f t="shared" ref="S8:S21" si="0">M8</f>
        <v>0</v>
      </c>
      <c r="T8" s="449">
        <f t="shared" ref="T8:T21" si="1">R8*M8</f>
        <v>0</v>
      </c>
      <c r="U8" s="449">
        <f>IF('Исходные данные'!P17="МРЗ",'Исходные данные'!BA17,IF('Исходные данные'!P17="МРП",'Исходные данные'!BA17,0))</f>
        <v>0</v>
      </c>
      <c r="V8" s="449">
        <f>'Исходные данные'!P17</f>
        <v>0</v>
      </c>
      <c r="W8" s="449">
        <f>IF(V8="МРП",'Исходные данные'!U17,IF(V8="МРЗ",'Исходные данные'!U17,0))</f>
        <v>0</v>
      </c>
      <c r="X8" s="449">
        <f>IF('Исходные данные'!S17="р",'Исходные данные'!BA17,0)</f>
        <v>0</v>
      </c>
      <c r="Y8" s="449">
        <f>IF('Исходные данные'!S17="Р",'Исходные данные'!U17,0)</f>
        <v>0</v>
      </c>
      <c r="Z8" s="449">
        <f>IF('Исходные данные'!O17="с",'Исходные данные'!BA17,0)</f>
        <v>0</v>
      </c>
      <c r="AA8" s="449">
        <f>IF('Исходные данные'!O17="с",'Исходные данные'!U17,0)</f>
        <v>0</v>
      </c>
      <c r="AB8" s="494">
        <f>IF('Исходные данные'!AZ17&gt;0,'Исходные данные'!I17,0)</f>
        <v>0</v>
      </c>
      <c r="AC8" s="494">
        <f>'Исходные данные'!BD17</f>
        <v>0</v>
      </c>
      <c r="AD8" s="494">
        <f>IF('Исходные данные'!AZ17&gt;0,'Исходные данные'!J17,0)</f>
        <v>0</v>
      </c>
      <c r="AE8" s="494">
        <f>AC8</f>
        <v>0</v>
      </c>
      <c r="AF8" s="494">
        <f>IF(AND('Исходные данные'!AQ17=1,AC8&gt;0),"07.239.06.00.022",IF(AND('Исходные данные'!D17=2,AC8&gt;0),"07.239.05.00.021",IF(AND('Исходные данные'!D17=3,AC8&gt;0),"07.239.07.00.001",0)))</f>
        <v>0</v>
      </c>
      <c r="AG8" s="449">
        <f>IF('Исходные данные'!K17=1,'Исходные данные'!J17+20,0)</f>
        <v>0</v>
      </c>
      <c r="AH8" s="449">
        <f>IF('Исходные данные'!K17=1,BB8*'Исходные данные'!U17,0)</f>
        <v>0</v>
      </c>
      <c r="AI8" s="449">
        <f>IF('Исходные данные'!K17=1,'Исходные данные'!J17+34.6,0)</f>
        <v>0</v>
      </c>
      <c r="AJ8" s="449">
        <f>IF('Исходные данные'!K17=1,BG8,0)</f>
        <v>0</v>
      </c>
      <c r="AK8" s="447">
        <f t="shared" ref="AK8:AK21" si="2">BD8</f>
        <v>0</v>
      </c>
      <c r="AL8" s="447">
        <f t="shared" ref="AL8:AL21" si="3">BE8</f>
        <v>0</v>
      </c>
      <c r="AM8" s="494">
        <f>IF('Исходные данные'!AP17&gt;0,'Исходные данные'!BA17,0)</f>
        <v>0</v>
      </c>
      <c r="AN8" s="498">
        <f>IF('Исходные данные'!Q17&gt;0,'Исходные данные'!U17,0)</f>
        <v>0</v>
      </c>
      <c r="AP8" s="500">
        <f>IF('Исходные данные'!I17=100,0,IF('Исходные данные'!I17=150,0,IF('Исходные данные'!I17=200,0,IF('Исходные данные'!I17=250,0,IF('Исходные данные'!I17=300,0,IF('Исходные данные'!I17=350,0,IF('Исходные данные'!I17=400,0,IF('Исходные данные'!I17=450,0,IF('Исходные данные'!I17=500,0,IF('Исходные данные'!I17=550,0,IF('Исходные данные'!I17=600,0,IF('Исходные данные'!I17=650,0,IF('Исходные данные'!I17=700,0,IF('Исходные данные'!I17=750,0,IF('Исходные данные'!I17=800,0,IF('Исходные данные'!I17=900,0,IF('Исходные данные'!I17=950,0,IF('Исходные данные'!I17=1000,0,IF('Исходные данные'!I17=1050,0,IF('Исходные данные'!I17=1100,0,IF('Исходные данные'!I17=1150,0,IF('Исходные данные'!I17=1200,'Исходные данные'!I17,IF('Исходные данные'!I17=1250,'Исходные данные'!I17,IF('Исходные данные'!I17=1300,'Исходные данные'!I17,'Исходные данные'!I17))))))))))))))))))))))))</f>
        <v>0</v>
      </c>
      <c r="AQ8" s="234">
        <f>IF('Исходные данные'!J17=100,0,IF('Исходные данные'!J17=150,0,IF('Исходные данные'!J17=200,0,IF('Исходные данные'!J17=250,0,IF('Исходные данные'!J17=300,0,IF('Исходные данные'!J17=350,0,IF('Исходные данные'!J17=400,0,IF('Исходные данные'!J17=450,0,IF('Исходные данные'!J17=500,0,IF('Исходные данные'!J17=550,0,IF('Исходные данные'!J17=600,0,IF('Исходные данные'!J17=650,0,IF('Исходные данные'!J17=700,0,IF('Исходные данные'!J17=750,0,IF('Исходные данные'!J17=800,0,IF('Исходные данные'!J17=900,0,IF('Исходные данные'!J17=950,0,IF('Исходные данные'!J17=1000,0,IF('Исходные данные'!J17=1050,0,IF('Исходные данные'!J17=1100,0,IF('Исходные данные'!J17=1150,0,IF('Исходные данные'!J17=1200,0,IF('Исходные данные'!J17=1250,0,IF('Исходные данные'!J17=1300,0,'Исходные данные'!J17))))))))))))))))))))))))</f>
        <v>0</v>
      </c>
      <c r="AR8" s="234">
        <f>'Исходные данные'!I17</f>
        <v>0</v>
      </c>
      <c r="AS8" s="234">
        <f>'Исходные данные'!J17</f>
        <v>0</v>
      </c>
      <c r="AT8" s="506" t="str">
        <f t="shared" ref="AT8:AT21" si="4">CONCATENATE(AP8,"х",AQ8,)</f>
        <v>0х0</v>
      </c>
      <c r="AU8" s="234">
        <f>IF('Исходные данные'!K17=2,IF(OR('Исходные данные'!I17&lt;150,'Исходные данные'!J17&lt;150),'Исходные данные'!I17,),0)</f>
        <v>0</v>
      </c>
      <c r="AV8" s="234">
        <f>IF(OR('Исходные данные'!I17&lt;150,'Исходные данные'!J17&lt;150),'Исходные данные'!J17,0)</f>
        <v>0</v>
      </c>
      <c r="AW8" s="251" t="str">
        <f t="shared" ref="AW8:AW21" si="5">CONCATENATE(AU8,"х",AV8,)</f>
        <v>0х0</v>
      </c>
      <c r="AX8" s="251">
        <f>IF('Исходные данные'!K17=1,'Исходные данные'!I17,0)</f>
        <v>0</v>
      </c>
      <c r="AY8" s="251">
        <f>IF('Исходные данные'!K17=1,'Исходные данные'!J17,0)</f>
        <v>0</v>
      </c>
      <c r="AZ8" s="251" t="str">
        <f t="shared" ref="AZ8:AZ21" si="6">CONCATENATE(AX8,"х",AY8,)</f>
        <v>0х0</v>
      </c>
      <c r="BA8" s="256">
        <f>IF('Исходные данные'!K17=1,('Исходные данные'!I17/'Исходные данные'!AF17-14)/2-13,0)</f>
        <v>0</v>
      </c>
      <c r="BB8" s="4">
        <f>IF(AND(350&lt;='Исходные данные'!I17,'Исходные данные'!I17&lt;=800),2,IF(AND(800&lt;'Исходные данные'!I17,'Исходные данные'!I17&lt;=1600),6,0))</f>
        <v>0</v>
      </c>
      <c r="BC8" s="507" t="str">
        <f>CONCATENATE('Исходные данные'!I17,"х",'Исходные данные'!J17)</f>
        <v>х</v>
      </c>
      <c r="BD8" s="513">
        <f>IF(OR(AX8&gt;0,AV8&gt;0),'Исходные данные'!I17/'Исходные данные'!AB17-22,0)</f>
        <v>0</v>
      </c>
      <c r="BE8" s="514">
        <f t="shared" ref="BE8:BE21" si="7">BK8</f>
        <v>0</v>
      </c>
      <c r="BF8" s="4">
        <f>IF(AND(350&lt;='Исходные данные'!I17,'Исходные данные'!I17&lt;=800),1,IF(AND(800&lt;'Исходные данные'!I17,'Исходные данные'!I17&lt;=1600),2,0))</f>
        <v>0</v>
      </c>
      <c r="BG8" s="4">
        <f>BF8*'Исходные данные'!U17</f>
        <v>0</v>
      </c>
      <c r="BH8" s="159">
        <f>IF(OR('Исходные данные'!I17&lt;150,'Исходные данные'!J17&lt;150),1,IF(OR('Исходные данные'!I17&gt;150,'Исходные данные'!J17&gt;150),2,0))</f>
        <v>1</v>
      </c>
      <c r="BI8" s="167" t="str">
        <f>CONCATENATE('Исходные данные'!I17,"х",'Исходные данные'!J17)</f>
        <v>х</v>
      </c>
      <c r="BJ8">
        <f>IF(AND('Исходные данные'!K17=2,BH8=1),AW8,IF(AND('Исходные данные'!K17=2,BH8=2),AT8,0))</f>
        <v>0</v>
      </c>
      <c r="BK8">
        <f>IF(AV8&gt;0,'Исходные данные'!AB17*2*'Исходные данные'!U17,IF(AX8&gt;0,'Исходные данные'!AB17*2*'Исходные данные'!U17,0))</f>
        <v>0</v>
      </c>
    </row>
    <row r="9" spans="2:63" ht="29.25" customHeight="1" thickBot="1">
      <c r="B9" s="605" t="s">
        <v>157</v>
      </c>
      <c r="E9" s="392">
        <f t="shared" ref="E9:E24" si="8">E8+1</f>
        <v>3</v>
      </c>
      <c r="F9" s="391">
        <f>'Исходные данные'!B18</f>
        <v>0</v>
      </c>
      <c r="G9" s="395" t="str">
        <f>CONCATENATE('Исходные данные'!C18,"-",'Исходные данные'!D18,'Исходные данные'!E18,'Исходные данные'!H18,'Исходные данные'!I18,"х",'Исходные данные'!J18,"  ",'Исходные данные'!K18,'Исходные данные'!L18,"-",'Исходные данные'!M18,)</f>
        <v>-х  -</v>
      </c>
      <c r="H9" s="391"/>
      <c r="I9" s="510">
        <f>IF('Исходные данные'!K18=2,BJ9,IF('Исходные данные'!K18=1,AZ9,0))</f>
        <v>0</v>
      </c>
      <c r="J9" s="447"/>
      <c r="K9" s="447"/>
      <c r="L9" s="447">
        <f>'Исходные данные'!AJ18</f>
        <v>0</v>
      </c>
      <c r="M9" s="447">
        <f>IF(OR(I9=0,I9="0х0"),0,'Исходные данные'!U18)</f>
        <v>0</v>
      </c>
      <c r="N9" s="449">
        <f>IF('Исходные данные'!K18=1,'Исходные данные'!I18/'Исходные данные'!AF18+28.6,0)</f>
        <v>0</v>
      </c>
      <c r="O9" s="449">
        <f>IF('Исходные данные'!K18=1,'Исходные данные'!J18-17+48.6,0)</f>
        <v>0</v>
      </c>
      <c r="P9" s="449">
        <f>IF('Исходные данные'!K18=1,N9-BA9-24.3,0)</f>
        <v>0</v>
      </c>
      <c r="Q9" s="448">
        <f>IF('Исходные данные'!AK18=1,"07.277.00.00.016",0)</f>
        <v>0</v>
      </c>
      <c r="R9" s="449">
        <f>IF('Исходные данные'!K18=1,'Исходные данные'!AF18*2,0)</f>
        <v>0</v>
      </c>
      <c r="S9" s="449">
        <f t="shared" si="0"/>
        <v>0</v>
      </c>
      <c r="T9" s="449">
        <f t="shared" si="1"/>
        <v>0</v>
      </c>
      <c r="U9" s="449">
        <f>IF('Исходные данные'!P18="МРЗ",'Исходные данные'!BA18,IF('Исходные данные'!P18="МРП",'Исходные данные'!BA18,0))</f>
        <v>0</v>
      </c>
      <c r="V9" s="449">
        <f>'Исходные данные'!P18</f>
        <v>0</v>
      </c>
      <c r="W9" s="449">
        <f>IF(V9="МРП",'Исходные данные'!U18,IF(V9="МРЗ",'Исходные данные'!U18,0))</f>
        <v>0</v>
      </c>
      <c r="X9" s="449">
        <f>IF('Исходные данные'!S18="р",'Исходные данные'!BA18,0)</f>
        <v>0</v>
      </c>
      <c r="Y9" s="449">
        <f>IF('Исходные данные'!S18="Р",'Исходные данные'!U18,0)</f>
        <v>0</v>
      </c>
      <c r="Z9" s="449">
        <f>IF('Исходные данные'!O18="с",'Исходные данные'!BA18,0)</f>
        <v>0</v>
      </c>
      <c r="AA9" s="449">
        <f>IF('Исходные данные'!O18="с",'Исходные данные'!U18,0)</f>
        <v>0</v>
      </c>
      <c r="AB9" s="494">
        <f>IF('Исходные данные'!AZ18&gt;0,'Исходные данные'!I18,0)</f>
        <v>0</v>
      </c>
      <c r="AC9" s="494">
        <f>'Исходные данные'!BD18</f>
        <v>0</v>
      </c>
      <c r="AD9" s="494">
        <f>IF('Исходные данные'!AZ18&gt;0,'Исходные данные'!J18,0)</f>
        <v>0</v>
      </c>
      <c r="AE9" s="494">
        <f t="shared" ref="AE9:AE21" si="9">AC9</f>
        <v>0</v>
      </c>
      <c r="AF9" s="494">
        <f>IF(AND('Исходные данные'!AQ18=1,AC9&gt;0),"07.239.06.00.022",IF(AND('Исходные данные'!D18=2,AC9&gt;0),"07.239.05.00.021",IF(AND('Исходные данные'!D18=3,AC9&gt;0),"07.239.07.00.001",0)))</f>
        <v>0</v>
      </c>
      <c r="AG9" s="449">
        <f>IF('Исходные данные'!K18=1,'Исходные данные'!J18+20,0)</f>
        <v>0</v>
      </c>
      <c r="AH9" s="449">
        <f>IF('Исходные данные'!K18=1,BB9*'Исходные данные'!U18,0)</f>
        <v>0</v>
      </c>
      <c r="AI9" s="449">
        <f>IF('Исходные данные'!K18=1,'Исходные данные'!J18+34.6,0)</f>
        <v>0</v>
      </c>
      <c r="AJ9" s="449">
        <f>IF('Исходные данные'!K18=1,BG9,0)</f>
        <v>0</v>
      </c>
      <c r="AK9" s="447">
        <f t="shared" si="2"/>
        <v>0</v>
      </c>
      <c r="AL9" s="447">
        <f t="shared" si="3"/>
        <v>0</v>
      </c>
      <c r="AM9" s="494">
        <f>IF('Исходные данные'!AP18&gt;0,'Исходные данные'!BA18,0)</f>
        <v>0</v>
      </c>
      <c r="AN9" s="498">
        <f>IF('Исходные данные'!Q18&gt;0,'Исходные данные'!U18,0)</f>
        <v>0</v>
      </c>
      <c r="AP9" s="500">
        <f>IF('Исходные данные'!I18=100,0,IF('Исходные данные'!I18=150,0,IF('Исходные данные'!I18=200,0,IF('Исходные данные'!I18=250,0,IF('Исходные данные'!I18=300,0,IF('Исходные данные'!I18=350,0,IF('Исходные данные'!I18=400,0,IF('Исходные данные'!I18=450,0,IF('Исходные данные'!I18=500,0,IF('Исходные данные'!I18=550,0,IF('Исходные данные'!I18=600,0,IF('Исходные данные'!I18=650,0,IF('Исходные данные'!I18=700,0,IF('Исходные данные'!I18=750,0,IF('Исходные данные'!I18=800,0,IF('Исходные данные'!I18=900,0,IF('Исходные данные'!I18=950,0,IF('Исходные данные'!I18=1000,0,IF('Исходные данные'!I18=1050,0,IF('Исходные данные'!I18=1100,0,IF('Исходные данные'!I18=1150,0,IF('Исходные данные'!I18=1200,'Исходные данные'!I18,IF('Исходные данные'!I18=1250,'Исходные данные'!I18,IF('Исходные данные'!I18=1300,'Исходные данные'!I18,'Исходные данные'!I18))))))))))))))))))))))))</f>
        <v>0</v>
      </c>
      <c r="AQ9" s="234">
        <f>IF('Исходные данные'!J18=100,0,IF('Исходные данные'!J18=150,0,IF('Исходные данные'!J18=200,0,IF('Исходные данные'!J18=250,0,IF('Исходные данные'!J18=300,0,IF('Исходные данные'!J18=350,0,IF('Исходные данные'!J18=400,0,IF('Исходные данные'!J18=450,0,IF('Исходные данные'!J18=500,0,IF('Исходные данные'!J18=550,0,IF('Исходные данные'!J18=600,0,IF('Исходные данные'!J18=650,0,IF('Исходные данные'!J18=700,0,IF('Исходные данные'!J18=750,0,IF('Исходные данные'!J18=800,0,IF('Исходные данные'!J18=900,0,IF('Исходные данные'!J18=950,0,IF('Исходные данные'!J18=1000,0,IF('Исходные данные'!J18=1050,0,IF('Исходные данные'!J18=1100,0,IF('Исходные данные'!J18=1150,0,IF('Исходные данные'!J18=1200,0,IF('Исходные данные'!J18=1250,0,IF('Исходные данные'!J18=1300,0,'Исходные данные'!J18))))))))))))))))))))))))</f>
        <v>0</v>
      </c>
      <c r="AR9" s="234">
        <f>'Исходные данные'!I18</f>
        <v>0</v>
      </c>
      <c r="AS9" s="234">
        <f>'Исходные данные'!J18</f>
        <v>0</v>
      </c>
      <c r="AT9" s="506" t="str">
        <f t="shared" si="4"/>
        <v>0х0</v>
      </c>
      <c r="AU9" s="234">
        <f>IF('Исходные данные'!K18=2,IF(OR('Исходные данные'!I18&lt;150,'Исходные данные'!J18&lt;150),'Исходные данные'!I18,),0)</f>
        <v>0</v>
      </c>
      <c r="AV9" s="234">
        <f>IF(OR('Исходные данные'!I18&lt;150,'Исходные данные'!J18&lt;150),'Исходные данные'!J18,0)</f>
        <v>0</v>
      </c>
      <c r="AW9" s="251" t="str">
        <f t="shared" si="5"/>
        <v>0х0</v>
      </c>
      <c r="AX9" s="251">
        <f>IF('Исходные данные'!K18=1,'Исходные данные'!I18,0)</f>
        <v>0</v>
      </c>
      <c r="AY9" s="251">
        <f>IF('Исходные данные'!K18=1,'Исходные данные'!J18,0)</f>
        <v>0</v>
      </c>
      <c r="AZ9" s="251" t="str">
        <f t="shared" si="6"/>
        <v>0х0</v>
      </c>
      <c r="BA9" s="256">
        <f>IF('Исходные данные'!K18=1,('Исходные данные'!I18/'Исходные данные'!AF18-14)/2-13,0)</f>
        <v>0</v>
      </c>
      <c r="BB9" s="4">
        <f>IF(AND(350&lt;='Исходные данные'!I18,'Исходные данные'!I18&lt;=800),2,IF(AND(800&lt;'Исходные данные'!I18,'Исходные данные'!I18&lt;=1600),6,0))</f>
        <v>0</v>
      </c>
      <c r="BC9" s="507" t="str">
        <f>CONCATENATE('Исходные данные'!I18,"х",'Исходные данные'!J18)</f>
        <v>х</v>
      </c>
      <c r="BD9" s="513">
        <f>IF(OR(AX9&gt;0,AV9&gt;0),'Исходные данные'!I18/'Исходные данные'!AB18-22,0)</f>
        <v>0</v>
      </c>
      <c r="BE9" s="514">
        <f t="shared" si="7"/>
        <v>0</v>
      </c>
      <c r="BF9" s="4">
        <f>IF(AND(350&lt;='Исходные данные'!I18,'Исходные данные'!I18&lt;=800),1,IF(AND(800&lt;'Исходные данные'!I18,'Исходные данные'!I18&lt;=1600),2,0))</f>
        <v>0</v>
      </c>
      <c r="BG9" s="4">
        <f>BF9*'Исходные данные'!U18</f>
        <v>0</v>
      </c>
      <c r="BH9" s="159">
        <f>IF(OR('Исходные данные'!I18&lt;150,'Исходные данные'!J18&lt;150),1,IF(OR('Исходные данные'!I18&gt;150,'Исходные данные'!J18&gt;150),2,0))</f>
        <v>1</v>
      </c>
      <c r="BI9" s="167" t="str">
        <f>CONCATENATE('Исходные данные'!I18,"х",'Исходные данные'!J18)</f>
        <v>х</v>
      </c>
      <c r="BJ9">
        <f>IF(AND('Исходные данные'!K18=2,BH9=1),AW9,IF(AND('Исходные данные'!K18=2,BH9=2),AT9,0))</f>
        <v>0</v>
      </c>
      <c r="BK9">
        <f>IF(AV9&gt;0,'Исходные данные'!AB18*2*'Исходные данные'!U18,IF(AX9&gt;0,'Исходные данные'!AB18*2*'Исходные данные'!U18,0))</f>
        <v>0</v>
      </c>
    </row>
    <row r="10" spans="2:63" ht="43.5" customHeight="1" thickBot="1">
      <c r="B10" s="605"/>
      <c r="D10" t="b">
        <f>IF(OR('Исходные данные'!I19&gt;=150,'Исходные данные'!K19=2,AT10),IF(OR('Исходные данные'!I19&lt;150,'Исходные данные'!K19=2,'Задание на ТРУМПФ'!AW10),IF('Исходные данные'!K19=1,'Задание на ТРУМПФ'!AZ10,0)))</f>
        <v>0</v>
      </c>
      <c r="E10" s="392">
        <f t="shared" si="8"/>
        <v>4</v>
      </c>
      <c r="F10" s="391">
        <f>'Исходные данные'!B19</f>
        <v>0</v>
      </c>
      <c r="G10" s="395" t="str">
        <f>CONCATENATE('Исходные данные'!C19,"-",'Исходные данные'!D19,'Исходные данные'!E19,'Исходные данные'!H19,'Исходные данные'!I19,"х",'Исходные данные'!J19,"  ",'Исходные данные'!K19,'Исходные данные'!L19,"-",'Исходные данные'!M19,)</f>
        <v>-х  -</v>
      </c>
      <c r="H10" s="391"/>
      <c r="I10" s="510">
        <f>IF('Исходные данные'!K19=2,BJ10,IF('Исходные данные'!K19=1,AZ10,0))</f>
        <v>0</v>
      </c>
      <c r="J10" s="447"/>
      <c r="K10" s="447"/>
      <c r="L10" s="447">
        <f>'Исходные данные'!AJ19</f>
        <v>0</v>
      </c>
      <c r="M10" s="447">
        <f>IF(OR(I10=0,I10="0х0"),0,'Исходные данные'!U19)</f>
        <v>0</v>
      </c>
      <c r="N10" s="449">
        <f>IF('Исходные данные'!K19=1,'Исходные данные'!I19/'Исходные данные'!AF19+28.6,0)</f>
        <v>0</v>
      </c>
      <c r="O10" s="449">
        <f>IF('Исходные данные'!K19=1,'Исходные данные'!J19-17+48.6,0)</f>
        <v>0</v>
      </c>
      <c r="P10" s="449">
        <f>IF('Исходные данные'!K19=1,N10-BA10-24.3,0)</f>
        <v>0</v>
      </c>
      <c r="Q10" s="448">
        <f>IF('Исходные данные'!AK19=1,"07.277.00.00.016",0)</f>
        <v>0</v>
      </c>
      <c r="R10" s="449">
        <f>IF('Исходные данные'!K19=1,'Исходные данные'!AF19*2,0)</f>
        <v>0</v>
      </c>
      <c r="S10" s="449">
        <f t="shared" si="0"/>
        <v>0</v>
      </c>
      <c r="T10" s="449">
        <f t="shared" si="1"/>
        <v>0</v>
      </c>
      <c r="U10" s="449">
        <f>IF('Исходные данные'!P19="МРЗ",'Исходные данные'!BA19,IF('Исходные данные'!P19="МРП",'Исходные данные'!BA19,0))</f>
        <v>0</v>
      </c>
      <c r="V10" s="449">
        <f>'Исходные данные'!P19</f>
        <v>0</v>
      </c>
      <c r="W10" s="449">
        <f>IF(V10="МРП",'Исходные данные'!U19,IF(V10="МРЗ",'Исходные данные'!U19,0))</f>
        <v>0</v>
      </c>
      <c r="X10" s="449">
        <f>IF('Исходные данные'!S19="р",'Исходные данные'!BA19,0)</f>
        <v>0</v>
      </c>
      <c r="Y10" s="449">
        <f>IF('Исходные данные'!S19="Р",'Исходные данные'!U19,0)</f>
        <v>0</v>
      </c>
      <c r="Z10" s="449">
        <f>IF('Исходные данные'!O19="с",'Исходные данные'!BA19,0)</f>
        <v>0</v>
      </c>
      <c r="AA10" s="449">
        <f>IF('Исходные данные'!O19="с",'Исходные данные'!U19,0)</f>
        <v>0</v>
      </c>
      <c r="AB10" s="494">
        <f>IF('Исходные данные'!AZ19&gt;0,'Исходные данные'!I19,0)</f>
        <v>0</v>
      </c>
      <c r="AC10" s="494">
        <f>'Исходные данные'!BD19</f>
        <v>0</v>
      </c>
      <c r="AD10" s="494">
        <f>IF('Исходные данные'!AZ19&gt;0,'Исходные данные'!J19,0)</f>
        <v>0</v>
      </c>
      <c r="AE10" s="494">
        <f t="shared" si="9"/>
        <v>0</v>
      </c>
      <c r="AF10" s="494">
        <f>IF(AND('Исходные данные'!AQ19=1,AC10&gt;0),"07.239.06.00.022",IF(AND('Исходные данные'!D19=2,AC10&gt;0),"07.239.05.00.021",IF(AND('Исходные данные'!D19=3,AC10&gt;0),"07.239.07.00.001",0)))</f>
        <v>0</v>
      </c>
      <c r="AG10" s="449">
        <f>IF('Исходные данные'!K19=1,'Исходные данные'!J19+20,0)</f>
        <v>0</v>
      </c>
      <c r="AH10" s="449">
        <f>IF('Исходные данные'!K19=1,BB10*'Исходные данные'!U19,0)</f>
        <v>0</v>
      </c>
      <c r="AI10" s="449">
        <f>IF('Исходные данные'!K19=1,'Исходные данные'!J19+34.6,0)</f>
        <v>0</v>
      </c>
      <c r="AJ10" s="449">
        <f>IF('Исходные данные'!K19=1,BG10,0)</f>
        <v>0</v>
      </c>
      <c r="AK10" s="447">
        <f t="shared" si="2"/>
        <v>0</v>
      </c>
      <c r="AL10" s="447">
        <f t="shared" si="3"/>
        <v>0</v>
      </c>
      <c r="AM10" s="494">
        <f>IF('Исходные данные'!AP19&gt;0,'Исходные данные'!BA19,0)</f>
        <v>0</v>
      </c>
      <c r="AN10" s="498">
        <f>IF('Исходные данные'!Q19&gt;0,'Исходные данные'!U19,0)</f>
        <v>0</v>
      </c>
      <c r="AP10" s="500">
        <f>IF('Исходные данные'!I19=100,0,IF('Исходные данные'!I19=150,0,IF('Исходные данные'!I19=200,0,IF('Исходные данные'!I19=250,0,IF('Исходные данные'!I19=300,0,IF('Исходные данные'!I19=350,0,IF('Исходные данные'!I19=400,0,IF('Исходные данные'!I19=450,0,IF('Исходные данные'!I19=500,0,IF('Исходные данные'!I19=550,0,IF('Исходные данные'!I19=600,0,IF('Исходные данные'!I19=650,0,IF('Исходные данные'!I19=700,0,IF('Исходные данные'!I19=750,0,IF('Исходные данные'!I19=800,0,IF('Исходные данные'!I19=900,0,IF('Исходные данные'!I19=950,0,IF('Исходные данные'!I19=1000,0,IF('Исходные данные'!I19=1050,0,IF('Исходные данные'!I19=1100,0,IF('Исходные данные'!I19=1150,0,IF('Исходные данные'!I19=1200,'Исходные данные'!I19,IF('Исходные данные'!I19=1250,'Исходные данные'!I19,IF('Исходные данные'!I19=1300,'Исходные данные'!I19,'Исходные данные'!I19))))))))))))))))))))))))</f>
        <v>0</v>
      </c>
      <c r="AQ10" s="234">
        <f>IF('Исходные данные'!J19=100,0,IF('Исходные данные'!J19=150,0,IF('Исходные данные'!J19=200,0,IF('Исходные данные'!J19=250,0,IF('Исходные данные'!J19=300,0,IF('Исходные данные'!J19=350,0,IF('Исходные данные'!J19=400,0,IF('Исходные данные'!J19=450,0,IF('Исходные данные'!J19=500,0,IF('Исходные данные'!J19=550,0,IF('Исходные данные'!J19=600,0,IF('Исходные данные'!J19=650,0,IF('Исходные данные'!J19=700,0,IF('Исходные данные'!J19=750,0,IF('Исходные данные'!J19=800,0,IF('Исходные данные'!J19=900,0,IF('Исходные данные'!J19=950,0,IF('Исходные данные'!J19=1000,0,IF('Исходные данные'!J19=1050,0,IF('Исходные данные'!J19=1100,0,IF('Исходные данные'!J19=1150,0,IF('Исходные данные'!J19=1200,0,IF('Исходные данные'!J19=1250,0,IF('Исходные данные'!J19=1300,0,'Исходные данные'!J19))))))))))))))))))))))))</f>
        <v>0</v>
      </c>
      <c r="AR10" s="234">
        <f>'Исходные данные'!I19</f>
        <v>0</v>
      </c>
      <c r="AS10" s="234">
        <f>'Исходные данные'!J19</f>
        <v>0</v>
      </c>
      <c r="AT10" s="506" t="str">
        <f t="shared" si="4"/>
        <v>0х0</v>
      </c>
      <c r="AU10" s="234">
        <f>IF('Исходные данные'!K19=2,IF(OR('Исходные данные'!I19&lt;150,'Исходные данные'!J19&lt;150),'Исходные данные'!I19,),0)</f>
        <v>0</v>
      </c>
      <c r="AV10" s="234">
        <f>IF(OR('Исходные данные'!I19&lt;150,'Исходные данные'!J19&lt;150),'Исходные данные'!J19,0)</f>
        <v>0</v>
      </c>
      <c r="AW10" s="251" t="str">
        <f t="shared" si="5"/>
        <v>0х0</v>
      </c>
      <c r="AX10" s="251">
        <f>IF('Исходные данные'!K19=1,'Исходные данные'!I19,0)</f>
        <v>0</v>
      </c>
      <c r="AY10" s="251">
        <f>IF('Исходные данные'!K19=1,'Исходные данные'!J19,0)</f>
        <v>0</v>
      </c>
      <c r="AZ10" s="251" t="str">
        <f t="shared" si="6"/>
        <v>0х0</v>
      </c>
      <c r="BA10" s="256">
        <f>IF('Исходные данные'!K19=1,('Исходные данные'!I19/'Исходные данные'!AF19-14)/2-13,0)</f>
        <v>0</v>
      </c>
      <c r="BB10" s="4">
        <f>IF(AND(350&lt;='Исходные данные'!I19,'Исходные данные'!I19&lt;=800),2,IF(AND(800&lt;'Исходные данные'!I19,'Исходные данные'!I19&lt;=1600),6,0))</f>
        <v>0</v>
      </c>
      <c r="BC10" s="507" t="str">
        <f>CONCATENATE('Исходные данные'!I19,"х",'Исходные данные'!J19)</f>
        <v>х</v>
      </c>
      <c r="BD10" s="513">
        <f>IF(OR(AX10&gt;0,AV10&gt;0),'Исходные данные'!I19/'Исходные данные'!AB19-22,0)</f>
        <v>0</v>
      </c>
      <c r="BE10" s="514">
        <f t="shared" si="7"/>
        <v>0</v>
      </c>
      <c r="BF10" s="4">
        <f>IF(AND(350&lt;='Исходные данные'!I19,'Исходные данные'!I19&lt;=800),1,IF(AND(800&lt;'Исходные данные'!I19,'Исходные данные'!I19&lt;=1600),2,0))</f>
        <v>0</v>
      </c>
      <c r="BG10" s="4">
        <f>BF10*'Исходные данные'!U19</f>
        <v>0</v>
      </c>
      <c r="BH10" s="159">
        <f>IF(OR('Исходные данные'!I19&lt;150,'Исходные данные'!J19&lt;150),1,IF(OR('Исходные данные'!I19&gt;150,'Исходные данные'!J19&gt;150),2,0))</f>
        <v>1</v>
      </c>
      <c r="BI10" s="167" t="str">
        <f>CONCATENATE('Исходные данные'!I19,"х",'Исходные данные'!J19)</f>
        <v>х</v>
      </c>
      <c r="BJ10">
        <f>IF(AND('Исходные данные'!K19=2,BH10=1),AW10,IF(AND('Исходные данные'!K19=2,BH10=2),AT10,0))</f>
        <v>0</v>
      </c>
      <c r="BK10">
        <f>IF(AV10&gt;0,'Исходные данные'!AB19*2*'Исходные данные'!U19,IF(AX10&gt;0,'Исходные данные'!AB19*2*'Исходные данные'!U19,0))</f>
        <v>0</v>
      </c>
    </row>
    <row r="11" spans="2:63" ht="25.5" customHeight="1" thickBot="1">
      <c r="B11" s="605"/>
      <c r="E11" s="392">
        <f t="shared" si="8"/>
        <v>5</v>
      </c>
      <c r="F11" s="391">
        <f>'Исходные данные'!B20</f>
        <v>0</v>
      </c>
      <c r="G11" s="395" t="str">
        <f>CONCATENATE('Исходные данные'!C20,"-",'Исходные данные'!D20,'Исходные данные'!E20,'Исходные данные'!H20,'Исходные данные'!I20,"х",'Исходные данные'!J20,"  ",'Исходные данные'!K20,'Исходные данные'!L20,"-",'Исходные данные'!M20,)</f>
        <v>-х  -</v>
      </c>
      <c r="H11" s="391"/>
      <c r="I11" s="510">
        <f>IF('Исходные данные'!K20=2,BJ11,IF('Исходные данные'!K20=1,AZ11,0))</f>
        <v>0</v>
      </c>
      <c r="J11" s="447"/>
      <c r="K11" s="447"/>
      <c r="L11" s="447">
        <f>'Исходные данные'!AJ20</f>
        <v>0</v>
      </c>
      <c r="M11" s="447">
        <f>IF(OR(I11=0,I11="0х0"),0,'Исходные данные'!U20)</f>
        <v>0</v>
      </c>
      <c r="N11" s="449">
        <f>IF('Исходные данные'!K20=1,'Исходные данные'!I20/'Исходные данные'!AF20+28.6,0)</f>
        <v>0</v>
      </c>
      <c r="O11" s="449">
        <f>IF('Исходные данные'!K20=1,'Исходные данные'!J20-17+48.6,0)</f>
        <v>0</v>
      </c>
      <c r="P11" s="449">
        <f>IF('Исходные данные'!K20=1,N11-BA11-24.3,0)</f>
        <v>0</v>
      </c>
      <c r="Q11" s="448">
        <f>IF('Исходные данные'!AK20=1,"07.277.00.00.016",0)</f>
        <v>0</v>
      </c>
      <c r="R11" s="449">
        <f>IF('Исходные данные'!K20=1,'Исходные данные'!AF20*2,0)</f>
        <v>0</v>
      </c>
      <c r="S11" s="449">
        <f t="shared" si="0"/>
        <v>0</v>
      </c>
      <c r="T11" s="449">
        <f t="shared" si="1"/>
        <v>0</v>
      </c>
      <c r="U11" s="449">
        <f>IF('Исходные данные'!P20="МРЗ",'Исходные данные'!BA20,IF('Исходные данные'!P20="МРП",'Исходные данные'!BA20,0))</f>
        <v>0</v>
      </c>
      <c r="V11" s="449">
        <f>'Исходные данные'!P20</f>
        <v>0</v>
      </c>
      <c r="W11" s="449">
        <f>IF(V11="МРП",'Исходные данные'!U20,IF(V11="МРЗ",'Исходные данные'!U20,0))</f>
        <v>0</v>
      </c>
      <c r="X11" s="449">
        <f>IF('Исходные данные'!S20="р",'Исходные данные'!BA20,0)</f>
        <v>0</v>
      </c>
      <c r="Y11" s="449">
        <f>IF('Исходные данные'!S20="Р",'Исходные данные'!U20,0)</f>
        <v>0</v>
      </c>
      <c r="Z11" s="449">
        <f>IF('Исходные данные'!O20="с",'Исходные данные'!BA20,0)</f>
        <v>0</v>
      </c>
      <c r="AA11" s="449">
        <f>IF('Исходные данные'!O20="с",'Исходные данные'!U20,0)</f>
        <v>0</v>
      </c>
      <c r="AB11" s="494">
        <f>IF('Исходные данные'!AZ20&gt;0,'Исходные данные'!I20,0)</f>
        <v>0</v>
      </c>
      <c r="AC11" s="494">
        <f>'Исходные данные'!BD20</f>
        <v>0</v>
      </c>
      <c r="AD11" s="494">
        <f>IF('Исходные данные'!AZ20&gt;0,'Исходные данные'!J20,0)</f>
        <v>0</v>
      </c>
      <c r="AE11" s="494">
        <f t="shared" si="9"/>
        <v>0</v>
      </c>
      <c r="AF11" s="494">
        <f>IF(AND('Исходные данные'!AQ20=1,AC11&gt;0),"07.239.06.00.022",IF(AND('Исходные данные'!D20=2,AC11&gt;0),"07.239.05.00.021",IF(AND('Исходные данные'!D20=3,AC11&gt;0),"07.239.07.00.001",0)))</f>
        <v>0</v>
      </c>
      <c r="AG11" s="449">
        <f>IF('Исходные данные'!K20=1,'Исходные данные'!J20+20,0)</f>
        <v>0</v>
      </c>
      <c r="AH11" s="449">
        <f>IF('Исходные данные'!K20=1,BB11*'Исходные данные'!U20,0)</f>
        <v>0</v>
      </c>
      <c r="AI11" s="449">
        <f>IF('Исходные данные'!K20=1,'Исходные данные'!J20+34.6,0)</f>
        <v>0</v>
      </c>
      <c r="AJ11" s="449">
        <f>IF('Исходные данные'!K20=1,BG11,0)</f>
        <v>0</v>
      </c>
      <c r="AK11" s="447">
        <f t="shared" si="2"/>
        <v>0</v>
      </c>
      <c r="AL11" s="447">
        <f t="shared" si="3"/>
        <v>0</v>
      </c>
      <c r="AM11" s="494">
        <f>IF('Исходные данные'!AP20&gt;0,'Исходные данные'!BA20,0)</f>
        <v>0</v>
      </c>
      <c r="AN11" s="498">
        <f>IF('Исходные данные'!Q20&gt;0,'Исходные данные'!U20,0)</f>
        <v>0</v>
      </c>
      <c r="AP11" s="500">
        <f>IF('Исходные данные'!I20=100,0,IF('Исходные данные'!I20=150,0,IF('Исходные данные'!I20=200,0,IF('Исходные данные'!I20=250,0,IF('Исходные данные'!I20=300,0,IF('Исходные данные'!I20=350,0,IF('Исходные данные'!I20=400,0,IF('Исходные данные'!I20=450,0,IF('Исходные данные'!I20=500,0,IF('Исходные данные'!I20=550,0,IF('Исходные данные'!I20=600,0,IF('Исходные данные'!I20=650,0,IF('Исходные данные'!I20=700,0,IF('Исходные данные'!I20=750,0,IF('Исходные данные'!I20=800,0,IF('Исходные данные'!I20=900,0,IF('Исходные данные'!I20=950,0,IF('Исходные данные'!I20=1000,0,IF('Исходные данные'!I20=1050,0,IF('Исходные данные'!I20=1100,0,IF('Исходные данные'!I20=1150,0,IF('Исходные данные'!I20=1200,'Исходные данные'!I20,IF('Исходные данные'!I20=1250,'Исходные данные'!I20,IF('Исходные данные'!I20=1300,'Исходные данные'!I20,'Исходные данные'!I20))))))))))))))))))))))))</f>
        <v>0</v>
      </c>
      <c r="AQ11" s="234">
        <f>IF('Исходные данные'!J20=100,0,IF('Исходные данные'!J20=150,0,IF('Исходные данные'!J20=200,0,IF('Исходные данные'!J20=250,0,IF('Исходные данные'!J20=300,0,IF('Исходные данные'!J20=350,0,IF('Исходные данные'!J20=400,0,IF('Исходные данные'!J20=450,0,IF('Исходные данные'!J20=500,0,IF('Исходные данные'!J20=550,0,IF('Исходные данные'!J20=600,0,IF('Исходные данные'!J20=650,0,IF('Исходные данные'!J20=700,0,IF('Исходные данные'!J20=750,0,IF('Исходные данные'!J20=800,0,IF('Исходные данные'!J20=900,0,IF('Исходные данные'!J20=950,0,IF('Исходные данные'!J20=1000,0,IF('Исходные данные'!J20=1050,0,IF('Исходные данные'!J20=1100,0,IF('Исходные данные'!J20=1150,0,IF('Исходные данные'!J20=1200,0,IF('Исходные данные'!J20=1250,0,IF('Исходные данные'!J20=1300,0,'Исходные данные'!J20))))))))))))))))))))))))</f>
        <v>0</v>
      </c>
      <c r="AR11" s="234">
        <f>'Исходные данные'!I20</f>
        <v>0</v>
      </c>
      <c r="AS11" s="234">
        <f>'Исходные данные'!J20</f>
        <v>0</v>
      </c>
      <c r="AT11" s="506" t="str">
        <f t="shared" si="4"/>
        <v>0х0</v>
      </c>
      <c r="AU11" s="234">
        <f>IF('Исходные данные'!K20=2,IF(OR('Исходные данные'!I20&lt;150,'Исходные данные'!J20&lt;150),'Исходные данные'!I20,),0)</f>
        <v>0</v>
      </c>
      <c r="AV11" s="234">
        <f>IF(OR('Исходные данные'!I20&lt;150,'Исходные данные'!J20&lt;150),'Исходные данные'!J20,0)</f>
        <v>0</v>
      </c>
      <c r="AW11" s="251" t="str">
        <f t="shared" si="5"/>
        <v>0х0</v>
      </c>
      <c r="AX11" s="251">
        <f>IF('Исходные данные'!K20=1,'Исходные данные'!I20,0)</f>
        <v>0</v>
      </c>
      <c r="AY11" s="251">
        <f>IF('Исходные данные'!K20=1,'Исходные данные'!J20,0)</f>
        <v>0</v>
      </c>
      <c r="AZ11" s="251" t="str">
        <f t="shared" si="6"/>
        <v>0х0</v>
      </c>
      <c r="BA11" s="256">
        <f>IF('Исходные данные'!K20=1,('Исходные данные'!I20/'Исходные данные'!AF20-14)/2-13,0)</f>
        <v>0</v>
      </c>
      <c r="BB11" s="4">
        <f>IF(AND(350&lt;='Исходные данные'!I20,'Исходные данные'!I20&lt;=800),2,IF(AND(800&lt;'Исходные данные'!I20,'Исходные данные'!I20&lt;=1600),6,0))</f>
        <v>0</v>
      </c>
      <c r="BC11" s="507" t="str">
        <f>CONCATENATE('Исходные данные'!I20,"х",'Исходные данные'!J20)</f>
        <v>х</v>
      </c>
      <c r="BD11" s="513">
        <f>IF(OR(AX11&gt;0,AV11&gt;0),'Исходные данные'!I20/'Исходные данные'!AB20-22,0)</f>
        <v>0</v>
      </c>
      <c r="BE11" s="514">
        <f t="shared" si="7"/>
        <v>0</v>
      </c>
      <c r="BF11" s="4">
        <f>IF(AND(350&lt;='Исходные данные'!I20,'Исходные данные'!I20&lt;=800),1,IF(AND(800&lt;'Исходные данные'!I20,'Исходные данные'!I20&lt;=1600),2,0))</f>
        <v>0</v>
      </c>
      <c r="BG11" s="4">
        <f>BF11*'Исходные данные'!U20</f>
        <v>0</v>
      </c>
      <c r="BH11" s="159">
        <f>IF(OR('Исходные данные'!I20&lt;150,'Исходные данные'!J20&lt;150),1,IF(OR('Исходные данные'!I20&gt;150,'Исходные данные'!J20&gt;150),2,0))</f>
        <v>1</v>
      </c>
      <c r="BI11" s="167" t="str">
        <f>CONCATENATE('Исходные данные'!I20,"х",'Исходные данные'!J20)</f>
        <v>х</v>
      </c>
      <c r="BJ11">
        <f>IF(AND('Исходные данные'!K20=2,BH11=1),AW11,IF(AND('Исходные данные'!K20=2,BH11=2),AT11,0))</f>
        <v>0</v>
      </c>
      <c r="BK11">
        <f>IF(AV11&gt;0,'Исходные данные'!AB20*2*'Исходные данные'!U20,IF(AX11&gt;0,'Исходные данные'!AB20*2*'Исходные данные'!U20,0))</f>
        <v>0</v>
      </c>
    </row>
    <row r="12" spans="2:63" ht="36" customHeight="1" thickBot="1">
      <c r="B12" s="605"/>
      <c r="E12" s="392">
        <f t="shared" si="8"/>
        <v>6</v>
      </c>
      <c r="F12" s="391">
        <f>'Исходные данные'!B21</f>
        <v>0</v>
      </c>
      <c r="G12" s="395" t="str">
        <f>CONCATENATE('Исходные данные'!C21,"-",'Исходные данные'!D21,'Исходные данные'!E21,'Исходные данные'!H21,'Исходные данные'!I21,"х",'Исходные данные'!J21,"  ",'Исходные данные'!K21,'Исходные данные'!L21,"-",'Исходные данные'!M21,)</f>
        <v>-х  -</v>
      </c>
      <c r="H12" s="391"/>
      <c r="I12" s="510">
        <f>IF('Исходные данные'!K21=2,BJ12,IF('Исходные данные'!K21=1,AZ12,0))</f>
        <v>0</v>
      </c>
      <c r="J12" s="447"/>
      <c r="K12" s="447"/>
      <c r="L12" s="447">
        <f>'Исходные данные'!AJ21</f>
        <v>0</v>
      </c>
      <c r="M12" s="447">
        <f>IF(OR(I12=0,I12="0х0"),0,'Исходные данные'!U21)</f>
        <v>0</v>
      </c>
      <c r="N12" s="449">
        <f>IF('Исходные данные'!K21=1,'Исходные данные'!I21/'Исходные данные'!AF21+28.6,0)</f>
        <v>0</v>
      </c>
      <c r="O12" s="449">
        <f>IF('Исходные данные'!K21=1,'Исходные данные'!J21-17+48.6,0)</f>
        <v>0</v>
      </c>
      <c r="P12" s="449">
        <f>IF('Исходные данные'!K21=1,N12-BA12-24.3,0)</f>
        <v>0</v>
      </c>
      <c r="Q12" s="448">
        <f>IF('Исходные данные'!AK21=1,"07.277.00.00.016",0)</f>
        <v>0</v>
      </c>
      <c r="R12" s="449">
        <f>IF('Исходные данные'!K21=1,'Исходные данные'!AF21*2,0)</f>
        <v>0</v>
      </c>
      <c r="S12" s="449">
        <f t="shared" si="0"/>
        <v>0</v>
      </c>
      <c r="T12" s="449">
        <f t="shared" si="1"/>
        <v>0</v>
      </c>
      <c r="U12" s="449">
        <f>IF('Исходные данные'!P21="МРЗ",'Исходные данные'!BA21,IF('Исходные данные'!P21="МРП",'Исходные данные'!BA21,0))</f>
        <v>0</v>
      </c>
      <c r="V12" s="449">
        <f>'Исходные данные'!P21</f>
        <v>0</v>
      </c>
      <c r="W12" s="449">
        <f>IF(V12="МРП",'Исходные данные'!U21,IF(V12="МРЗ",'Исходные данные'!U21,0))</f>
        <v>0</v>
      </c>
      <c r="X12" s="449">
        <f>IF('Исходные данные'!S21="р",'Исходные данные'!BA21,0)</f>
        <v>0</v>
      </c>
      <c r="Y12" s="449">
        <f>IF('Исходные данные'!S21="Р",'Исходные данные'!U21,0)</f>
        <v>0</v>
      </c>
      <c r="Z12" s="449">
        <f>IF('Исходные данные'!O21="с",'Исходные данные'!BA21,0)</f>
        <v>0</v>
      </c>
      <c r="AA12" s="449">
        <f>IF('Исходные данные'!O21="с",'Исходные данные'!U21,0)</f>
        <v>0</v>
      </c>
      <c r="AB12" s="494">
        <f>IF('Исходные данные'!AZ21&gt;0,'Исходные данные'!I21,0)</f>
        <v>0</v>
      </c>
      <c r="AC12" s="494">
        <f>'Исходные данные'!BD21</f>
        <v>0</v>
      </c>
      <c r="AD12" s="494">
        <f>IF('Исходные данные'!AZ21&gt;0,'Исходные данные'!J21,0)</f>
        <v>0</v>
      </c>
      <c r="AE12" s="494">
        <f t="shared" si="9"/>
        <v>0</v>
      </c>
      <c r="AF12" s="494">
        <f>IF(AND('Исходные данные'!AQ21=1,AC12&gt;0),"07.239.06.00.022",IF(AND('Исходные данные'!D21=2,AC12&gt;0),"07.239.05.00.021",IF(AND('Исходные данные'!D21=3,AC12&gt;0),"07.239.07.00.001",0)))</f>
        <v>0</v>
      </c>
      <c r="AG12" s="449">
        <f>IF('Исходные данные'!K21=1,'Исходные данные'!J21+20,0)</f>
        <v>0</v>
      </c>
      <c r="AH12" s="449">
        <f>IF('Исходные данные'!K21=1,BB12*'Исходные данные'!U21,0)</f>
        <v>0</v>
      </c>
      <c r="AI12" s="449">
        <f>IF('Исходные данные'!K21=1,'Исходные данные'!J21+34.6,0)</f>
        <v>0</v>
      </c>
      <c r="AJ12" s="449">
        <f>IF('Исходные данные'!K21=1,BG12,0)</f>
        <v>0</v>
      </c>
      <c r="AK12" s="447">
        <f t="shared" si="2"/>
        <v>0</v>
      </c>
      <c r="AL12" s="447">
        <f t="shared" si="3"/>
        <v>0</v>
      </c>
      <c r="AM12" s="494">
        <f>IF('Исходные данные'!AP21&gt;0,'Исходные данные'!BA21,0)</f>
        <v>0</v>
      </c>
      <c r="AN12" s="498">
        <f>IF('Исходные данные'!Q21&gt;0,'Исходные данные'!U21,0)</f>
        <v>0</v>
      </c>
      <c r="AP12" s="500">
        <f>IF('Исходные данные'!I21=100,0,IF('Исходные данные'!I21=150,0,IF('Исходные данные'!I21=200,0,IF('Исходные данные'!I21=250,0,IF('Исходные данные'!I21=300,0,IF('Исходные данные'!I21=350,0,IF('Исходные данные'!I21=400,0,IF('Исходные данные'!I21=450,0,IF('Исходные данные'!I21=500,0,IF('Исходные данные'!I21=550,0,IF('Исходные данные'!I21=600,0,IF('Исходные данные'!I21=650,0,IF('Исходные данные'!I21=700,0,IF('Исходные данные'!I21=750,0,IF('Исходные данные'!I21=800,0,IF('Исходные данные'!I21=900,0,IF('Исходные данные'!I21=950,0,IF('Исходные данные'!I21=1000,0,IF('Исходные данные'!I21=1050,0,IF('Исходные данные'!I21=1100,0,IF('Исходные данные'!I21=1150,0,IF('Исходные данные'!I21=1200,'Исходные данные'!I21,IF('Исходные данные'!I21=1250,'Исходные данные'!I21,IF('Исходные данные'!I21=1300,'Исходные данные'!I21,'Исходные данные'!I21))))))))))))))))))))))))</f>
        <v>0</v>
      </c>
      <c r="AQ12" s="234">
        <f>IF('Исходные данные'!J21=100,0,IF('Исходные данные'!J21=150,0,IF('Исходные данные'!J21=200,0,IF('Исходные данные'!J21=250,0,IF('Исходные данные'!J21=300,0,IF('Исходные данные'!J21=350,0,IF('Исходные данные'!J21=400,0,IF('Исходные данные'!J21=450,0,IF('Исходные данные'!J21=500,0,IF('Исходные данные'!J21=550,0,IF('Исходные данные'!J21=600,0,IF('Исходные данные'!J21=650,0,IF('Исходные данные'!J21=700,0,IF('Исходные данные'!J21=750,0,IF('Исходные данные'!J21=800,0,IF('Исходные данные'!J21=900,0,IF('Исходные данные'!J21=950,0,IF('Исходные данные'!J21=1000,0,IF('Исходные данные'!J21=1050,0,IF('Исходные данные'!J21=1100,0,IF('Исходные данные'!J21=1150,0,IF('Исходные данные'!J21=1200,0,IF('Исходные данные'!J21=1250,0,IF('Исходные данные'!J21=1300,0,'Исходные данные'!J21))))))))))))))))))))))))</f>
        <v>0</v>
      </c>
      <c r="AR12" s="234">
        <f>'Исходные данные'!I21</f>
        <v>0</v>
      </c>
      <c r="AS12" s="234">
        <f>'Исходные данные'!J21</f>
        <v>0</v>
      </c>
      <c r="AT12" s="506" t="str">
        <f t="shared" si="4"/>
        <v>0х0</v>
      </c>
      <c r="AU12" s="234">
        <f>IF('Исходные данные'!K21=2,IF(OR('Исходные данные'!I21&lt;150,'Исходные данные'!J21&lt;150),'Исходные данные'!I21,),0)</f>
        <v>0</v>
      </c>
      <c r="AV12" s="234">
        <f>IF(OR('Исходные данные'!I21&lt;150,'Исходные данные'!J21&lt;150),'Исходные данные'!J21,0)</f>
        <v>0</v>
      </c>
      <c r="AW12" s="251" t="str">
        <f t="shared" si="5"/>
        <v>0х0</v>
      </c>
      <c r="AX12" s="251">
        <f>IF('Исходные данные'!K21=1,'Исходные данные'!I21,0)</f>
        <v>0</v>
      </c>
      <c r="AY12" s="251">
        <f>IF('Исходные данные'!K21=1,'Исходные данные'!J21,0)</f>
        <v>0</v>
      </c>
      <c r="AZ12" s="251" t="str">
        <f t="shared" si="6"/>
        <v>0х0</v>
      </c>
      <c r="BA12" s="256">
        <f>IF('Исходные данные'!K21=1,('Исходные данные'!I21/'Исходные данные'!AF21-14)/2-13,0)</f>
        <v>0</v>
      </c>
      <c r="BB12" s="4">
        <f>IF(AND(350&lt;='Исходные данные'!I21,'Исходные данные'!I21&lt;=800),2,IF(AND(800&lt;'Исходные данные'!I21,'Исходные данные'!I21&lt;=1600),6,0))</f>
        <v>0</v>
      </c>
      <c r="BC12" s="507" t="str">
        <f>CONCATENATE('Исходные данные'!I21,"х",'Исходные данные'!J21)</f>
        <v>х</v>
      </c>
      <c r="BD12" s="513">
        <f>IF(OR(AX12&gt;0,AV12&gt;0),'Исходные данные'!I21/'Исходные данные'!AB21-22,0)</f>
        <v>0</v>
      </c>
      <c r="BE12" s="514">
        <f t="shared" si="7"/>
        <v>0</v>
      </c>
      <c r="BF12" s="4">
        <f>IF(AND(350&lt;='Исходные данные'!I21,'Исходные данные'!I21&lt;=800),1,IF(AND(800&lt;'Исходные данные'!I21,'Исходные данные'!I21&lt;=1600),2,0))</f>
        <v>0</v>
      </c>
      <c r="BG12" s="4">
        <f>BF12*'Исходные данные'!U21</f>
        <v>0</v>
      </c>
      <c r="BH12" s="159">
        <f>IF(OR('Исходные данные'!I21&lt;150,'Исходные данные'!J21&lt;150),1,IF(OR('Исходные данные'!I21&gt;150,'Исходные данные'!J21&gt;150),2,0))</f>
        <v>1</v>
      </c>
      <c r="BI12" s="167" t="str">
        <f>CONCATENATE('Исходные данные'!I21,"х",'Исходные данные'!J21)</f>
        <v>х</v>
      </c>
      <c r="BJ12">
        <f>IF(AND('Исходные данные'!K21=2,BH12=1),AW12,IF(AND('Исходные данные'!K21=2,BH12=2),AT12,0))</f>
        <v>0</v>
      </c>
      <c r="BK12">
        <f>IF(AV12&gt;0,'Исходные данные'!AB21*2*'Исходные данные'!U21,IF(AX12&gt;0,'Исходные данные'!AB21*2*'Исходные данные'!U21,0))</f>
        <v>0</v>
      </c>
    </row>
    <row r="13" spans="2:63" ht="36" customHeight="1" thickBot="1">
      <c r="B13" s="605"/>
      <c r="E13" s="392">
        <f t="shared" si="8"/>
        <v>7</v>
      </c>
      <c r="F13" s="391">
        <f>'Исходные данные'!B22</f>
        <v>0</v>
      </c>
      <c r="G13" s="395" t="str">
        <f>CONCATENATE('Исходные данные'!C22,"-",'Исходные данные'!D22,'Исходные данные'!E22,'Исходные данные'!H22,'Исходные данные'!I22,"х",'Исходные данные'!J22,"  ",'Исходные данные'!K22,'Исходные данные'!L22,"-",'Исходные данные'!M22,)</f>
        <v>-х  -</v>
      </c>
      <c r="H13" s="391"/>
      <c r="I13" s="510">
        <f>IF('Исходные данные'!K22=2,BJ13,IF('Исходные данные'!K22=1,AZ13,0))</f>
        <v>0</v>
      </c>
      <c r="J13" s="447"/>
      <c r="K13" s="447"/>
      <c r="L13" s="447">
        <f>'Исходные данные'!AJ22</f>
        <v>0</v>
      </c>
      <c r="M13" s="447">
        <f>IF(OR(I13=0,I13="0х0"),0,'Исходные данные'!U22)</f>
        <v>0</v>
      </c>
      <c r="N13" s="449">
        <f>IF('Исходные данные'!K22=1,'Исходные данные'!I22/'Исходные данные'!AF22+28.6,0)</f>
        <v>0</v>
      </c>
      <c r="O13" s="449">
        <f>IF('Исходные данные'!K22=1,'Исходные данные'!J22-17+48.6,0)</f>
        <v>0</v>
      </c>
      <c r="P13" s="449">
        <f>IF('Исходные данные'!K22=1,N13-BA13-24.3,0)</f>
        <v>0</v>
      </c>
      <c r="Q13" s="448">
        <f>IF('Исходные данные'!AK22=1,"07.277.00.00.016",0)</f>
        <v>0</v>
      </c>
      <c r="R13" s="449">
        <f>IF('Исходные данные'!K22=1,'Исходные данные'!AF22*2,0)</f>
        <v>0</v>
      </c>
      <c r="S13" s="449">
        <f t="shared" si="0"/>
        <v>0</v>
      </c>
      <c r="T13" s="449">
        <f t="shared" si="1"/>
        <v>0</v>
      </c>
      <c r="U13" s="449">
        <f>IF('Исходные данные'!P22="МРЗ",'Исходные данные'!BA22,IF('Исходные данные'!P22="МРП",'Исходные данные'!BA22,0))</f>
        <v>0</v>
      </c>
      <c r="V13" s="449">
        <f>'Исходные данные'!P22</f>
        <v>0</v>
      </c>
      <c r="W13" s="449">
        <f>IF(V13="МРП",'Исходные данные'!U22,IF(V13="МРЗ",'Исходные данные'!U22,0))</f>
        <v>0</v>
      </c>
      <c r="X13" s="449">
        <f>IF('Исходные данные'!S22="р",'Исходные данные'!BA22,0)</f>
        <v>0</v>
      </c>
      <c r="Y13" s="449">
        <f>IF('Исходные данные'!S22="Р",'Исходные данные'!U22,0)</f>
        <v>0</v>
      </c>
      <c r="Z13" s="449">
        <f>IF('Исходные данные'!O22="с",'Исходные данные'!BA22,0)</f>
        <v>0</v>
      </c>
      <c r="AA13" s="449">
        <f>IF('Исходные данные'!O22="с",'Исходные данные'!U22,0)</f>
        <v>0</v>
      </c>
      <c r="AB13" s="494">
        <f>IF('Исходные данные'!AZ22&gt;0,'Исходные данные'!I22,0)</f>
        <v>0</v>
      </c>
      <c r="AC13" s="494">
        <f>'Исходные данные'!BD22</f>
        <v>0</v>
      </c>
      <c r="AD13" s="494">
        <f>IF('Исходные данные'!AZ22&gt;0,'Исходные данные'!J22,0)</f>
        <v>0</v>
      </c>
      <c r="AE13" s="494">
        <f t="shared" si="9"/>
        <v>0</v>
      </c>
      <c r="AF13" s="494">
        <f>IF(AND('Исходные данные'!AQ22=1,AC13&gt;0),"07.239.06.00.022",IF(AND('Исходные данные'!D22=2,AC13&gt;0),"07.239.05.00.021",IF(AND('Исходные данные'!D22=3,AC13&gt;0),"07.239.07.00.001",0)))</f>
        <v>0</v>
      </c>
      <c r="AG13" s="449">
        <f>IF('Исходные данные'!K22=1,'Исходные данные'!J22+20,0)</f>
        <v>0</v>
      </c>
      <c r="AH13" s="449">
        <f>IF('Исходные данные'!K22=1,BB13*'Исходные данные'!U22,0)</f>
        <v>0</v>
      </c>
      <c r="AI13" s="449">
        <f>IF('Исходные данные'!K22=1,'Исходные данные'!J22+34.6,0)</f>
        <v>0</v>
      </c>
      <c r="AJ13" s="449">
        <f>IF('Исходные данные'!K22=1,BG13,0)</f>
        <v>0</v>
      </c>
      <c r="AK13" s="447">
        <f t="shared" si="2"/>
        <v>0</v>
      </c>
      <c r="AL13" s="447">
        <f t="shared" si="3"/>
        <v>0</v>
      </c>
      <c r="AM13" s="494">
        <f>IF('Исходные данные'!AP22&gt;0,'Исходные данные'!BA22,0)</f>
        <v>0</v>
      </c>
      <c r="AN13" s="498">
        <f>IF('Исходные данные'!Q22&gt;0,'Исходные данные'!U22,0)</f>
        <v>0</v>
      </c>
      <c r="AP13" s="500">
        <f>IF('Исходные данные'!I22=100,0,IF('Исходные данные'!I22=150,0,IF('Исходные данные'!I22=200,0,IF('Исходные данные'!I22=250,0,IF('Исходные данные'!I22=300,0,IF('Исходные данные'!I22=350,0,IF('Исходные данные'!I22=400,0,IF('Исходные данные'!I22=450,0,IF('Исходные данные'!I22=500,0,IF('Исходные данные'!I22=550,0,IF('Исходные данные'!I22=600,0,IF('Исходные данные'!I22=650,0,IF('Исходные данные'!I22=700,0,IF('Исходные данные'!I22=750,0,IF('Исходные данные'!I22=800,0,IF('Исходные данные'!I22=900,0,IF('Исходные данные'!I22=950,0,IF('Исходные данные'!I22=1000,0,IF('Исходные данные'!I22=1050,0,IF('Исходные данные'!I22=1100,0,IF('Исходные данные'!I22=1150,0,IF('Исходные данные'!I22=1200,'Исходные данные'!I22,IF('Исходные данные'!I22=1250,'Исходные данные'!I22,IF('Исходные данные'!I22=1300,'Исходные данные'!I22,'Исходные данные'!I22))))))))))))))))))))))))</f>
        <v>0</v>
      </c>
      <c r="AQ13" s="234">
        <f>IF('Исходные данные'!J22=100,0,IF('Исходные данные'!J22=150,0,IF('Исходные данные'!J22=200,0,IF('Исходные данные'!J22=250,0,IF('Исходные данные'!J22=300,0,IF('Исходные данные'!J22=350,0,IF('Исходные данные'!J22=400,0,IF('Исходные данные'!J22=450,0,IF('Исходные данные'!J22=500,0,IF('Исходные данные'!J22=550,0,IF('Исходные данные'!J22=600,0,IF('Исходные данные'!J22=650,0,IF('Исходные данные'!J22=700,0,IF('Исходные данные'!J22=750,0,IF('Исходные данные'!J22=800,0,IF('Исходные данные'!J22=900,0,IF('Исходные данные'!J22=950,0,IF('Исходные данные'!J22=1000,0,IF('Исходные данные'!J22=1050,0,IF('Исходные данные'!J22=1100,0,IF('Исходные данные'!J22=1150,0,IF('Исходные данные'!J22=1200,0,IF('Исходные данные'!J22=1250,0,IF('Исходные данные'!J22=1300,0,'Исходные данные'!J22))))))))))))))))))))))))</f>
        <v>0</v>
      </c>
      <c r="AR13" s="234">
        <f>'Исходные данные'!I22</f>
        <v>0</v>
      </c>
      <c r="AS13" s="234">
        <f>'Исходные данные'!J22</f>
        <v>0</v>
      </c>
      <c r="AT13" s="506" t="str">
        <f t="shared" si="4"/>
        <v>0х0</v>
      </c>
      <c r="AU13" s="234">
        <f>IF('Исходные данные'!K22=2,IF(OR('Исходные данные'!I22&lt;150,'Исходные данные'!J22&lt;150),'Исходные данные'!I22,),0)</f>
        <v>0</v>
      </c>
      <c r="AV13" s="234">
        <f>IF(OR('Исходные данные'!I22&lt;150,'Исходные данные'!J22&lt;150),'Исходные данные'!J22,0)</f>
        <v>0</v>
      </c>
      <c r="AW13" s="251" t="str">
        <f t="shared" si="5"/>
        <v>0х0</v>
      </c>
      <c r="AX13" s="251">
        <f>IF('Исходные данные'!K22=1,'Исходные данные'!I22,0)</f>
        <v>0</v>
      </c>
      <c r="AY13" s="251">
        <f>IF('Исходные данные'!K22=1,'Исходные данные'!J22,0)</f>
        <v>0</v>
      </c>
      <c r="AZ13" s="251" t="str">
        <f t="shared" si="6"/>
        <v>0х0</v>
      </c>
      <c r="BA13" s="256">
        <f>IF('Исходные данные'!K22=1,('Исходные данные'!I22/'Исходные данные'!AF22-14)/2-13,0)</f>
        <v>0</v>
      </c>
      <c r="BB13" s="4">
        <f>IF(AND(350&lt;='Исходные данные'!I22,'Исходные данные'!I22&lt;=800),2,IF(AND(800&lt;'Исходные данные'!I22,'Исходные данные'!I22&lt;=1600),6,0))</f>
        <v>0</v>
      </c>
      <c r="BC13" s="507" t="str">
        <f>CONCATENATE('Исходные данные'!I22,"х",'Исходные данные'!J22)</f>
        <v>х</v>
      </c>
      <c r="BD13" s="513">
        <f>IF(OR(AX13&gt;0,AV13&gt;0),'Исходные данные'!I22/'Исходные данные'!AB22-22,0)</f>
        <v>0</v>
      </c>
      <c r="BE13" s="514">
        <f t="shared" si="7"/>
        <v>0</v>
      </c>
      <c r="BF13" s="4">
        <f>IF(AND(350&lt;='Исходные данные'!I22,'Исходные данные'!I22&lt;=800),1,IF(AND(800&lt;'Исходные данные'!I22,'Исходные данные'!I22&lt;=1600),2,0))</f>
        <v>0</v>
      </c>
      <c r="BG13" s="4">
        <f>BF13*'Исходные данные'!U22</f>
        <v>0</v>
      </c>
      <c r="BH13" s="159">
        <f>IF(OR('Исходные данные'!I22&lt;150,'Исходные данные'!J22&lt;150),1,IF(OR('Исходные данные'!I22&gt;150,'Исходные данные'!J22&gt;150),2,0))</f>
        <v>1</v>
      </c>
      <c r="BI13" s="167" t="str">
        <f>CONCATENATE('Исходные данные'!I22,"х",'Исходные данные'!J22)</f>
        <v>х</v>
      </c>
      <c r="BJ13">
        <f>IF(AND('Исходные данные'!K22=2,BH13=1),AW13,IF(AND('Исходные данные'!K22=2,BH13=2),AT13,0))</f>
        <v>0</v>
      </c>
      <c r="BK13">
        <f>IF(AV13&gt;0,'Исходные данные'!AB22*2*'Исходные данные'!U22,IF(AX13&gt;0,'Исходные данные'!AB22*2*'Исходные данные'!U22,0))</f>
        <v>0</v>
      </c>
    </row>
    <row r="14" spans="2:63" ht="38.25" customHeight="1" thickBot="1">
      <c r="B14" s="605"/>
      <c r="E14" s="392">
        <f t="shared" si="8"/>
        <v>8</v>
      </c>
      <c r="F14" s="391">
        <f>'Исходные данные'!B23</f>
        <v>0</v>
      </c>
      <c r="G14" s="395" t="str">
        <f>CONCATENATE('Исходные данные'!C23,"-",'Исходные данные'!D23,'Исходные данные'!E23,'Исходные данные'!H23,'Исходные данные'!I23,"х",'Исходные данные'!J23,"  ",'Исходные данные'!K23,'Исходные данные'!L23,"-",'Исходные данные'!M23,)</f>
        <v>-х  -</v>
      </c>
      <c r="H14" s="391"/>
      <c r="I14" s="510">
        <f>IF('Исходные данные'!K23=2,BJ14,IF('Исходные данные'!K23=1,AZ14,0))</f>
        <v>0</v>
      </c>
      <c r="J14" s="447"/>
      <c r="K14" s="447"/>
      <c r="L14" s="447">
        <f>'Исходные данные'!AJ23</f>
        <v>0</v>
      </c>
      <c r="M14" s="447">
        <f>IF(OR(I14=0,I14="0х0"),0,'Исходные данные'!U23)</f>
        <v>0</v>
      </c>
      <c r="N14" s="449">
        <f>IF('Исходные данные'!K23=1,'Исходные данные'!I23/'Исходные данные'!AF23+28.6,0)</f>
        <v>0</v>
      </c>
      <c r="O14" s="449">
        <f>IF('Исходные данные'!K23=1,'Исходные данные'!J23-17+48.6,0)</f>
        <v>0</v>
      </c>
      <c r="P14" s="449">
        <f>IF('Исходные данные'!K23=1,N14-BA14-24.3,0)</f>
        <v>0</v>
      </c>
      <c r="Q14" s="448">
        <f>IF('Исходные данные'!AK23=1,"07.277.00.00.016",0)</f>
        <v>0</v>
      </c>
      <c r="R14" s="449">
        <f>IF('Исходные данные'!K23=1,'Исходные данные'!AF23*2,0)</f>
        <v>0</v>
      </c>
      <c r="S14" s="449">
        <f t="shared" si="0"/>
        <v>0</v>
      </c>
      <c r="T14" s="449">
        <f t="shared" si="1"/>
        <v>0</v>
      </c>
      <c r="U14" s="449">
        <f>IF('Исходные данные'!P23="МРЗ",'Исходные данные'!BA23,IF('Исходные данные'!P23="МРП",'Исходные данные'!BA23,0))</f>
        <v>0</v>
      </c>
      <c r="V14" s="449">
        <f>'Исходные данные'!P23</f>
        <v>0</v>
      </c>
      <c r="W14" s="449">
        <f>IF(V14="МРП",'Исходные данные'!U23,IF(V14="МРЗ",'Исходные данные'!U23,0))</f>
        <v>0</v>
      </c>
      <c r="X14" s="449">
        <f>IF('Исходные данные'!S23="р",'Исходные данные'!BA23,0)</f>
        <v>0</v>
      </c>
      <c r="Y14" s="449">
        <f>IF('Исходные данные'!S23="Р",'Исходные данные'!U23,0)</f>
        <v>0</v>
      </c>
      <c r="Z14" s="449">
        <f>IF('Исходные данные'!O23="с",'Исходные данные'!BA23,0)</f>
        <v>0</v>
      </c>
      <c r="AA14" s="449">
        <f>IF('Исходные данные'!O23="с",'Исходные данные'!U23,0)</f>
        <v>0</v>
      </c>
      <c r="AB14" s="494">
        <f>IF('Исходные данные'!AZ23&gt;0,'Исходные данные'!I23,0)</f>
        <v>0</v>
      </c>
      <c r="AC14" s="494">
        <f>'Исходные данные'!BD23</f>
        <v>0</v>
      </c>
      <c r="AD14" s="494">
        <f>IF('Исходные данные'!AZ23&gt;0,'Исходные данные'!J23,0)</f>
        <v>0</v>
      </c>
      <c r="AE14" s="494">
        <f t="shared" si="9"/>
        <v>0</v>
      </c>
      <c r="AF14" s="494">
        <f>IF(AND('Исходные данные'!AQ23=1,AC14&gt;0),"07.239.06.00.022",IF(AND('Исходные данные'!D23=2,AC14&gt;0),"07.239.05.00.021",IF(AND('Исходные данные'!D23=3,AC14&gt;0),"07.239.07.00.001",0)))</f>
        <v>0</v>
      </c>
      <c r="AG14" s="449">
        <f>IF('Исходные данные'!K23=1,'Исходные данные'!J23+20,0)</f>
        <v>0</v>
      </c>
      <c r="AH14" s="449">
        <f>IF('Исходные данные'!K23=1,BB14*'Исходные данные'!U23,0)</f>
        <v>0</v>
      </c>
      <c r="AI14" s="449">
        <f>IF('Исходные данные'!K23=1,'Исходные данные'!J23+34.6,0)</f>
        <v>0</v>
      </c>
      <c r="AJ14" s="449">
        <f>IF('Исходные данные'!K23=1,BG14,0)</f>
        <v>0</v>
      </c>
      <c r="AK14" s="447">
        <f t="shared" si="2"/>
        <v>0</v>
      </c>
      <c r="AL14" s="447">
        <f t="shared" si="3"/>
        <v>0</v>
      </c>
      <c r="AM14" s="494">
        <f>IF('Исходные данные'!AP23&gt;0,'Исходные данные'!BA23,0)</f>
        <v>0</v>
      </c>
      <c r="AN14" s="498">
        <f>IF('Исходные данные'!Q23&gt;0,'Исходные данные'!U23,0)</f>
        <v>0</v>
      </c>
      <c r="AP14" s="500">
        <f>IF('Исходные данные'!I23=100,0,IF('Исходные данные'!I23=150,0,IF('Исходные данные'!I23=200,0,IF('Исходные данные'!I23=250,0,IF('Исходные данные'!I23=300,0,IF('Исходные данные'!I23=350,0,IF('Исходные данные'!I23=400,0,IF('Исходные данные'!I23=450,0,IF('Исходные данные'!I23=500,0,IF('Исходные данные'!I23=550,0,IF('Исходные данные'!I23=600,0,IF('Исходные данные'!I23=650,0,IF('Исходные данные'!I23=700,0,IF('Исходные данные'!I23=750,0,IF('Исходные данные'!I23=800,0,IF('Исходные данные'!I23=900,0,IF('Исходные данные'!I23=950,0,IF('Исходные данные'!I23=1000,0,IF('Исходные данные'!I23=1050,0,IF('Исходные данные'!I23=1100,0,IF('Исходные данные'!I23=1150,0,IF('Исходные данные'!I23=1200,'Исходные данные'!I23,IF('Исходные данные'!I23=1250,'Исходные данные'!I23,IF('Исходные данные'!I23=1300,'Исходные данные'!I23,'Исходные данные'!I23))))))))))))))))))))))))</f>
        <v>0</v>
      </c>
      <c r="AQ14" s="234">
        <f>IF('Исходные данные'!J23=100,0,IF('Исходные данные'!J23=150,0,IF('Исходные данные'!J23=200,0,IF('Исходные данные'!J23=250,0,IF('Исходные данные'!J23=300,0,IF('Исходные данные'!J23=350,0,IF('Исходные данные'!J23=400,0,IF('Исходные данные'!J23=450,0,IF('Исходные данные'!J23=500,0,IF('Исходные данные'!J23=550,0,IF('Исходные данные'!J23=600,0,IF('Исходные данные'!J23=650,0,IF('Исходные данные'!J23=700,0,IF('Исходные данные'!J23=750,0,IF('Исходные данные'!J23=800,0,IF('Исходные данные'!J23=900,0,IF('Исходные данные'!J23=950,0,IF('Исходные данные'!J23=1000,0,IF('Исходные данные'!J23=1050,0,IF('Исходные данные'!J23=1100,0,IF('Исходные данные'!J23=1150,0,IF('Исходные данные'!J23=1200,0,IF('Исходные данные'!J23=1250,0,IF('Исходные данные'!J23=1300,0,'Исходные данные'!J23))))))))))))))))))))))))</f>
        <v>0</v>
      </c>
      <c r="AR14" s="234">
        <f>'Исходные данные'!I23</f>
        <v>0</v>
      </c>
      <c r="AS14" s="234">
        <f>'Исходные данные'!J23</f>
        <v>0</v>
      </c>
      <c r="AT14" s="506" t="str">
        <f t="shared" si="4"/>
        <v>0х0</v>
      </c>
      <c r="AU14" s="234">
        <f>IF('Исходные данные'!K23=2,IF(OR('Исходные данные'!I23&lt;150,'Исходные данные'!J23&lt;150),'Исходные данные'!I23,),0)</f>
        <v>0</v>
      </c>
      <c r="AV14" s="234">
        <f>IF(OR('Исходные данные'!I23&lt;150,'Исходные данные'!J23&lt;150),'Исходные данные'!J23,0)</f>
        <v>0</v>
      </c>
      <c r="AW14" s="251" t="str">
        <f t="shared" si="5"/>
        <v>0х0</v>
      </c>
      <c r="AX14" s="251">
        <f>IF('Исходные данные'!K23=1,'Исходные данные'!I23,0)</f>
        <v>0</v>
      </c>
      <c r="AY14" s="251">
        <f>IF('Исходные данные'!K23=1,'Исходные данные'!J23,0)</f>
        <v>0</v>
      </c>
      <c r="AZ14" s="251" t="str">
        <f t="shared" si="6"/>
        <v>0х0</v>
      </c>
      <c r="BA14" s="256">
        <f>IF('Исходные данные'!K23=1,('Исходные данные'!I23/'Исходные данные'!AF23-14)/2-13,0)</f>
        <v>0</v>
      </c>
      <c r="BB14" s="4">
        <f>IF(AND(350&lt;='Исходные данные'!I23,'Исходные данные'!I23&lt;=800),2,IF(AND(800&lt;'Исходные данные'!I23,'Исходные данные'!I23&lt;=1600),6,0))</f>
        <v>0</v>
      </c>
      <c r="BC14" s="507" t="str">
        <f>CONCATENATE('Исходные данные'!I23,"х",'Исходные данные'!J23)</f>
        <v>х</v>
      </c>
      <c r="BD14" s="513">
        <f>IF(OR(AX14&gt;0,AV14&gt;0),'Исходные данные'!I23/'Исходные данные'!AB23-22,0)</f>
        <v>0</v>
      </c>
      <c r="BE14" s="514">
        <f t="shared" si="7"/>
        <v>0</v>
      </c>
      <c r="BF14" s="4">
        <f>IF(AND(350&lt;='Исходные данные'!I23,'Исходные данные'!I23&lt;=800),1,IF(AND(800&lt;'Исходные данные'!I23,'Исходные данные'!I23&lt;=1600),2,0))</f>
        <v>0</v>
      </c>
      <c r="BG14" s="4">
        <f>BF14*'Исходные данные'!U23</f>
        <v>0</v>
      </c>
      <c r="BH14" s="159">
        <f>IF(OR('Исходные данные'!I23&lt;150,'Исходные данные'!J23&lt;150),1,IF(OR('Исходные данные'!I23&gt;150,'Исходные данные'!J23&gt;150),2,0))</f>
        <v>1</v>
      </c>
      <c r="BI14" s="167" t="str">
        <f>CONCATENATE('Исходные данные'!I23,"х",'Исходные данные'!J23)</f>
        <v>х</v>
      </c>
      <c r="BJ14">
        <f>IF(AND('Исходные данные'!K23=2,BH14=1),AW14,IF(AND('Исходные данные'!K23=2,BH14=2),AT14,0))</f>
        <v>0</v>
      </c>
      <c r="BK14">
        <f>IF(AV14&gt;0,'Исходные данные'!AB23*2*'Исходные данные'!U23,IF(AX14&gt;0,'Исходные данные'!AB23*2*'Исходные данные'!U23,0))</f>
        <v>0</v>
      </c>
    </row>
    <row r="15" spans="2:63" ht="38.25" customHeight="1" thickBot="1">
      <c r="B15" s="605"/>
      <c r="E15" s="392">
        <f t="shared" si="8"/>
        <v>9</v>
      </c>
      <c r="F15" s="391">
        <f>'Исходные данные'!B24</f>
        <v>0</v>
      </c>
      <c r="G15" s="395" t="str">
        <f>CONCATENATE('Исходные данные'!C24,"-",'Исходные данные'!D24,'Исходные данные'!E24,'Исходные данные'!H24,'Исходные данные'!I24,"х",'Исходные данные'!J24,"  ",'Исходные данные'!K24,'Исходные данные'!L24,"-",'Исходные данные'!M24,)</f>
        <v>-х  -</v>
      </c>
      <c r="H15" s="397"/>
      <c r="I15" s="510">
        <f>IF('Исходные данные'!K24=2,BJ15,IF('Исходные данные'!K24=1,AZ15,0))</f>
        <v>0</v>
      </c>
      <c r="J15" s="447"/>
      <c r="K15" s="447"/>
      <c r="L15" s="447">
        <f>'Исходные данные'!AJ24</f>
        <v>0</v>
      </c>
      <c r="M15" s="447">
        <f>IF(OR(I15=0,I15="0х0"),0,'Исходные данные'!U24)</f>
        <v>0</v>
      </c>
      <c r="N15" s="449">
        <f>IF('Исходные данные'!K24=1,'Исходные данные'!I24/'Исходные данные'!AF24+28.6,0)</f>
        <v>0</v>
      </c>
      <c r="O15" s="449">
        <f>IF('Исходные данные'!K24=1,'Исходные данные'!J24-17+48.6,0)</f>
        <v>0</v>
      </c>
      <c r="P15" s="449">
        <f>IF('Исходные данные'!K24=1,N15-BA15-24.3,0)</f>
        <v>0</v>
      </c>
      <c r="Q15" s="448">
        <f>IF('Исходные данные'!AK24=1,"07.277.00.00.016",0)</f>
        <v>0</v>
      </c>
      <c r="R15" s="449">
        <f>IF('Исходные данные'!K24=1,'Исходные данные'!AF24*2,0)</f>
        <v>0</v>
      </c>
      <c r="S15" s="449">
        <f t="shared" si="0"/>
        <v>0</v>
      </c>
      <c r="T15" s="449">
        <f t="shared" si="1"/>
        <v>0</v>
      </c>
      <c r="U15" s="449">
        <f>IF('Исходные данные'!P24="МРЗ",'Исходные данные'!BA24,IF('Исходные данные'!P24="МРП",'Исходные данные'!BA24,0))</f>
        <v>0</v>
      </c>
      <c r="V15" s="449">
        <f>'Исходные данные'!P24</f>
        <v>0</v>
      </c>
      <c r="W15" s="449">
        <f>IF(V15="МРП",'Исходные данные'!U24,IF(V15="МРЗ",'Исходные данные'!U24,0))</f>
        <v>0</v>
      </c>
      <c r="X15" s="449">
        <f>IF('Исходные данные'!S24="р",'Исходные данные'!BA24,0)</f>
        <v>0</v>
      </c>
      <c r="Y15" s="449">
        <f>IF('Исходные данные'!S24="Р",'Исходные данные'!U24,0)</f>
        <v>0</v>
      </c>
      <c r="Z15" s="449">
        <f>IF('Исходные данные'!O24="с",'Исходные данные'!BA24,0)</f>
        <v>0</v>
      </c>
      <c r="AA15" s="449">
        <f>IF('Исходные данные'!O24="с",'Исходные данные'!U24,0)</f>
        <v>0</v>
      </c>
      <c r="AB15" s="494">
        <f>IF('Исходные данные'!AZ24&gt;0,'Исходные данные'!I24,0)</f>
        <v>0</v>
      </c>
      <c r="AC15" s="494">
        <f>'Исходные данные'!BD24</f>
        <v>0</v>
      </c>
      <c r="AD15" s="494">
        <f>IF('Исходные данные'!AZ24&gt;0,'Исходные данные'!J24,0)</f>
        <v>0</v>
      </c>
      <c r="AE15" s="494">
        <f t="shared" si="9"/>
        <v>0</v>
      </c>
      <c r="AF15" s="494">
        <f>IF(AND('Исходные данные'!AQ24=1,AC15&gt;0),"07.239.06.00.022",IF(AND('Исходные данные'!D24=2,AC15&gt;0),"07.239.05.00.021",IF(AND('Исходные данные'!D24=3,AC15&gt;0),"07.239.07.00.001",0)))</f>
        <v>0</v>
      </c>
      <c r="AG15" s="449">
        <f>IF('Исходные данные'!K24=1,'Исходные данные'!J24+20,0)</f>
        <v>0</v>
      </c>
      <c r="AH15" s="449">
        <f>IF('Исходные данные'!K24=1,BB15*'Исходные данные'!U24,0)</f>
        <v>0</v>
      </c>
      <c r="AI15" s="449">
        <f>IF('Исходные данные'!K24=1,'Исходные данные'!J24+34.6,0)</f>
        <v>0</v>
      </c>
      <c r="AJ15" s="449">
        <f>IF('Исходные данные'!K24=1,BG15,0)</f>
        <v>0</v>
      </c>
      <c r="AK15" s="447">
        <f t="shared" si="2"/>
        <v>0</v>
      </c>
      <c r="AL15" s="447">
        <f t="shared" si="3"/>
        <v>0</v>
      </c>
      <c r="AM15" s="494">
        <f>IF('Исходные данные'!AP24&gt;0,'Исходные данные'!BA24,0)</f>
        <v>0</v>
      </c>
      <c r="AN15" s="498">
        <f>IF('Исходные данные'!Q24&gt;0,'Исходные данные'!U24,0)</f>
        <v>0</v>
      </c>
      <c r="AP15" s="500">
        <f>IF('Исходные данные'!I24=100,0,IF('Исходные данные'!I24=150,0,IF('Исходные данные'!I24=200,0,IF('Исходные данные'!I24=250,0,IF('Исходные данные'!I24=300,0,IF('Исходные данные'!I24=350,0,IF('Исходные данные'!I24=400,0,IF('Исходные данные'!I24=450,0,IF('Исходные данные'!I24=500,0,IF('Исходные данные'!I24=550,0,IF('Исходные данные'!I24=600,0,IF('Исходные данные'!I24=650,0,IF('Исходные данные'!I24=700,0,IF('Исходные данные'!I24=750,0,IF('Исходные данные'!I24=800,0,IF('Исходные данные'!I24=900,0,IF('Исходные данные'!I24=950,0,IF('Исходные данные'!I24=1000,0,IF('Исходные данные'!I24=1050,0,IF('Исходные данные'!I24=1100,0,IF('Исходные данные'!I24=1150,0,IF('Исходные данные'!I24=1200,'Исходные данные'!I24,IF('Исходные данные'!I24=1250,'Исходные данные'!I24,IF('Исходные данные'!I24=1300,'Исходные данные'!I24,'Исходные данные'!I24))))))))))))))))))))))))</f>
        <v>0</v>
      </c>
      <c r="AQ15" s="234">
        <f>IF('Исходные данные'!J24=100,0,IF('Исходные данные'!J24=150,0,IF('Исходные данные'!J24=200,0,IF('Исходные данные'!J24=250,0,IF('Исходные данные'!J24=300,0,IF('Исходные данные'!J24=350,0,IF('Исходные данные'!J24=400,0,IF('Исходные данные'!J24=450,0,IF('Исходные данные'!J24=500,0,IF('Исходные данные'!J24=550,0,IF('Исходные данные'!J24=600,0,IF('Исходные данные'!J24=650,0,IF('Исходные данные'!J24=700,0,IF('Исходные данные'!J24=750,0,IF('Исходные данные'!J24=800,0,IF('Исходные данные'!J24=900,0,IF('Исходные данные'!J24=950,0,IF('Исходные данные'!J24=1000,0,IF('Исходные данные'!J24=1050,0,IF('Исходные данные'!J24=1100,0,IF('Исходные данные'!J24=1150,0,IF('Исходные данные'!J24=1200,0,IF('Исходные данные'!J24=1250,0,IF('Исходные данные'!J24=1300,0,'Исходные данные'!J24))))))))))))))))))))))))</f>
        <v>0</v>
      </c>
      <c r="AR15" s="234">
        <f>'Исходные данные'!I24</f>
        <v>0</v>
      </c>
      <c r="AS15" s="234">
        <f>'Исходные данные'!J24</f>
        <v>0</v>
      </c>
      <c r="AT15" s="506" t="str">
        <f t="shared" si="4"/>
        <v>0х0</v>
      </c>
      <c r="AU15" s="234">
        <f>IF('Исходные данные'!K24=2,IF(OR('Исходные данные'!I24&lt;150,'Исходные данные'!J24&lt;150),'Исходные данные'!I24,),0)</f>
        <v>0</v>
      </c>
      <c r="AV15" s="234">
        <f>IF(OR('Исходные данные'!I24&lt;150,'Исходные данные'!J24&lt;150),'Исходные данные'!J24,0)</f>
        <v>0</v>
      </c>
      <c r="AW15" s="251" t="str">
        <f t="shared" si="5"/>
        <v>0х0</v>
      </c>
      <c r="AX15" s="251">
        <f>IF('Исходные данные'!K24=1,'Исходные данные'!I24,0)</f>
        <v>0</v>
      </c>
      <c r="AY15" s="251">
        <f>IF('Исходные данные'!K24=1,'Исходные данные'!J24,0)</f>
        <v>0</v>
      </c>
      <c r="AZ15" s="251" t="str">
        <f t="shared" si="6"/>
        <v>0х0</v>
      </c>
      <c r="BA15" s="256">
        <f>IF('Исходные данные'!K24=1,('Исходные данные'!I24/'Исходные данные'!AF24-14)/2-13,0)</f>
        <v>0</v>
      </c>
      <c r="BB15" s="4">
        <f>IF(AND(350&lt;='Исходные данные'!I24,'Исходные данные'!I24&lt;=800),2,IF(AND(800&lt;'Исходные данные'!I24,'Исходные данные'!I24&lt;=1600),6,0))</f>
        <v>0</v>
      </c>
      <c r="BC15" s="507" t="str">
        <f>CONCATENATE('Исходные данные'!I24,"х",'Исходные данные'!J24)</f>
        <v>х</v>
      </c>
      <c r="BD15" s="513">
        <f>IF(OR(AX15&gt;0,AV15&gt;0),'Исходные данные'!I24/'Исходные данные'!AB24-22,0)</f>
        <v>0</v>
      </c>
      <c r="BE15" s="514">
        <f t="shared" si="7"/>
        <v>0</v>
      </c>
      <c r="BF15" s="4">
        <f>IF(AND(350&lt;='Исходные данные'!I24,'Исходные данные'!I24&lt;=800),1,IF(AND(800&lt;'Исходные данные'!I24,'Исходные данные'!I24&lt;=1600),2,0))</f>
        <v>0</v>
      </c>
      <c r="BG15" s="4">
        <f>BF15*'Исходные данные'!U24</f>
        <v>0</v>
      </c>
      <c r="BH15" s="159">
        <f>IF(OR('Исходные данные'!I24&lt;150,'Исходные данные'!J24&lt;150),1,IF(OR('Исходные данные'!I24&gt;150,'Исходные данные'!J24&gt;150),2,0))</f>
        <v>1</v>
      </c>
      <c r="BI15" s="167" t="str">
        <f>CONCATENATE('Исходные данные'!I24,"х",'Исходные данные'!J24)</f>
        <v>х</v>
      </c>
      <c r="BJ15">
        <f>IF(AND('Исходные данные'!K24=2,BH15=1),AW15,IF(AND('Исходные данные'!K24=2,BH15=2),AT15,0))</f>
        <v>0</v>
      </c>
      <c r="BK15">
        <f>IF(AV15&gt;0,'Исходные данные'!AB24*2*'Исходные данные'!U24,IF(AX15&gt;0,'Исходные данные'!AB24*2*'Исходные данные'!U24,0))</f>
        <v>0</v>
      </c>
    </row>
    <row r="16" spans="2:63" ht="33" customHeight="1" thickBot="1">
      <c r="B16" s="605"/>
      <c r="E16" s="392">
        <f t="shared" si="8"/>
        <v>10</v>
      </c>
      <c r="F16" s="391">
        <f>'Исходные данные'!B25</f>
        <v>0</v>
      </c>
      <c r="G16" s="395" t="str">
        <f>CONCATENATE('Исходные данные'!C25,"-",'Исходные данные'!D25,'Исходные данные'!E25,'Исходные данные'!H25,'Исходные данные'!I25,"х",'Исходные данные'!J25,"  ",'Исходные данные'!K25,'Исходные данные'!L25,"-",'Исходные данные'!M25,)</f>
        <v>-х  -</v>
      </c>
      <c r="H16" s="397"/>
      <c r="I16" s="510">
        <f>IF('Исходные данные'!K25=2,BJ16,IF('Исходные данные'!K25=1,AZ16,0))</f>
        <v>0</v>
      </c>
      <c r="J16" s="447"/>
      <c r="K16" s="447"/>
      <c r="L16" s="447">
        <f>'Исходные данные'!AJ25</f>
        <v>0</v>
      </c>
      <c r="M16" s="447">
        <f>IF(OR(I16=0,I16="0х0"),0,'Исходные данные'!U25)</f>
        <v>0</v>
      </c>
      <c r="N16" s="449">
        <f>IF('Исходные данные'!K25=1,'Исходные данные'!I25/'Исходные данные'!AF25+28.6,0)</f>
        <v>0</v>
      </c>
      <c r="O16" s="449">
        <f>IF('Исходные данные'!K25=1,'Исходные данные'!J25-17+48.6,0)</f>
        <v>0</v>
      </c>
      <c r="P16" s="449">
        <f>IF('Исходные данные'!K25=1,N16-BA16-24.3,0)</f>
        <v>0</v>
      </c>
      <c r="Q16" s="448">
        <f>IF('Исходные данные'!AK25=1,"07.277.00.00.016",0)</f>
        <v>0</v>
      </c>
      <c r="R16" s="449">
        <f>IF('Исходные данные'!K25=1,'Исходные данные'!AF25*2,0)</f>
        <v>0</v>
      </c>
      <c r="S16" s="449">
        <f t="shared" si="0"/>
        <v>0</v>
      </c>
      <c r="T16" s="449">
        <f t="shared" si="1"/>
        <v>0</v>
      </c>
      <c r="U16" s="449">
        <f>IF('Исходные данные'!P25="МРЗ",'Исходные данные'!BA25,IF('Исходные данные'!P25="МРП",'Исходные данные'!BA25,0))</f>
        <v>0</v>
      </c>
      <c r="V16" s="449">
        <f>'Исходные данные'!P25</f>
        <v>0</v>
      </c>
      <c r="W16" s="449">
        <f>IF(V16="МРП",'Исходные данные'!U25,IF(V16="МРЗ",'Исходные данные'!U25,0))</f>
        <v>0</v>
      </c>
      <c r="X16" s="449">
        <f>IF('Исходные данные'!S25="р",'Исходные данные'!BA25,0)</f>
        <v>0</v>
      </c>
      <c r="Y16" s="449">
        <f>IF('Исходные данные'!S25="Р",'Исходные данные'!U25,0)</f>
        <v>0</v>
      </c>
      <c r="Z16" s="449">
        <f>IF('Исходные данные'!O25="с",'Исходные данные'!BA25,0)</f>
        <v>0</v>
      </c>
      <c r="AA16" s="449">
        <f>IF('Исходные данные'!O25="с",'Исходные данные'!U25,0)</f>
        <v>0</v>
      </c>
      <c r="AB16" s="494">
        <f>IF('Исходные данные'!AZ25&gt;0,'Исходные данные'!I25,0)</f>
        <v>0</v>
      </c>
      <c r="AC16" s="494">
        <f>'Исходные данные'!BD25</f>
        <v>0</v>
      </c>
      <c r="AD16" s="494">
        <f>IF('Исходные данные'!AZ25&gt;0,'Исходные данные'!J25,0)</f>
        <v>0</v>
      </c>
      <c r="AE16" s="494">
        <f t="shared" si="9"/>
        <v>0</v>
      </c>
      <c r="AF16" s="494">
        <f>IF(AND('Исходные данные'!AQ25=1,AC16&gt;0),"07.239.06.00.022",IF(AND('Исходные данные'!D25=2,AC16&gt;0),"07.239.05.00.021",IF(AND('Исходные данные'!D25=3,AC16&gt;0),"07.239.07.00.001",0)))</f>
        <v>0</v>
      </c>
      <c r="AG16" s="449">
        <f>IF('Исходные данные'!K25=1,'Исходные данные'!J25+20,0)</f>
        <v>0</v>
      </c>
      <c r="AH16" s="449">
        <f>IF('Исходные данные'!K25=1,BB16*'Исходные данные'!U25,0)</f>
        <v>0</v>
      </c>
      <c r="AI16" s="449">
        <f>IF('Исходные данные'!K25=1,'Исходные данные'!J25+34.6,0)</f>
        <v>0</v>
      </c>
      <c r="AJ16" s="449">
        <f>IF('Исходные данные'!K25=1,BG16,0)</f>
        <v>0</v>
      </c>
      <c r="AK16" s="447">
        <f t="shared" si="2"/>
        <v>0</v>
      </c>
      <c r="AL16" s="447">
        <f t="shared" si="3"/>
        <v>0</v>
      </c>
      <c r="AM16" s="494">
        <f>IF('Исходные данные'!AP25&gt;0,'Исходные данные'!BA25,0)</f>
        <v>0</v>
      </c>
      <c r="AN16" s="498">
        <f>IF('Исходные данные'!Q25&gt;0,'Исходные данные'!U25,0)</f>
        <v>0</v>
      </c>
      <c r="AP16" s="500">
        <f>IF('Исходные данные'!I25=100,0,IF('Исходные данные'!I25=150,0,IF('Исходные данные'!I25=200,0,IF('Исходные данные'!I25=250,0,IF('Исходные данные'!I25=300,0,IF('Исходные данные'!I25=350,0,IF('Исходные данные'!I25=400,0,IF('Исходные данные'!I25=450,0,IF('Исходные данные'!I25=500,0,IF('Исходные данные'!I25=550,0,IF('Исходные данные'!I25=600,0,IF('Исходные данные'!I25=650,0,IF('Исходные данные'!I25=700,0,IF('Исходные данные'!I25=750,0,IF('Исходные данные'!I25=800,0,IF('Исходные данные'!I25=900,0,IF('Исходные данные'!I25=950,0,IF('Исходные данные'!I25=1000,0,IF('Исходные данные'!I25=1050,0,IF('Исходные данные'!I25=1100,0,IF('Исходные данные'!I25=1150,0,IF('Исходные данные'!I25=1200,'Исходные данные'!I25,IF('Исходные данные'!I25=1250,'Исходные данные'!I25,IF('Исходные данные'!I25=1300,'Исходные данные'!I25,'Исходные данные'!I25))))))))))))))))))))))))</f>
        <v>0</v>
      </c>
      <c r="AQ16" s="234">
        <f>IF('Исходные данные'!J25=100,0,IF('Исходные данные'!J25=150,0,IF('Исходные данные'!J25=200,0,IF('Исходные данные'!J25=250,0,IF('Исходные данные'!J25=300,0,IF('Исходные данные'!J25=350,0,IF('Исходные данные'!J25=400,0,IF('Исходные данные'!J25=450,0,IF('Исходные данные'!J25=500,0,IF('Исходные данные'!J25=550,0,IF('Исходные данные'!J25=600,0,IF('Исходные данные'!J25=650,0,IF('Исходные данные'!J25=700,0,IF('Исходные данные'!J25=750,0,IF('Исходные данные'!J25=800,0,IF('Исходные данные'!J25=900,0,IF('Исходные данные'!J25=950,0,IF('Исходные данные'!J25=1000,0,IF('Исходные данные'!J25=1050,0,IF('Исходные данные'!J25=1100,0,IF('Исходные данные'!J25=1150,0,IF('Исходные данные'!J25=1200,0,IF('Исходные данные'!J25=1250,0,IF('Исходные данные'!J25=1300,0,'Исходные данные'!J25))))))))))))))))))))))))</f>
        <v>0</v>
      </c>
      <c r="AR16" s="234">
        <f>'Исходные данные'!I25</f>
        <v>0</v>
      </c>
      <c r="AS16" s="234">
        <f>'Исходные данные'!J25</f>
        <v>0</v>
      </c>
      <c r="AT16" s="506" t="str">
        <f t="shared" si="4"/>
        <v>0х0</v>
      </c>
      <c r="AU16" s="234">
        <f>IF('Исходные данные'!K25=2,IF(OR('Исходные данные'!I25&lt;150,'Исходные данные'!J25&lt;150),'Исходные данные'!I25,),0)</f>
        <v>0</v>
      </c>
      <c r="AV16" s="234">
        <f>IF(OR('Исходные данные'!I25&lt;150,'Исходные данные'!J25&lt;150),'Исходные данные'!J25,0)</f>
        <v>0</v>
      </c>
      <c r="AW16" s="251" t="str">
        <f t="shared" si="5"/>
        <v>0х0</v>
      </c>
      <c r="AX16" s="251">
        <f>IF('Исходные данные'!K25=1,'Исходные данные'!I25,0)</f>
        <v>0</v>
      </c>
      <c r="AY16" s="251">
        <f>IF('Исходные данные'!K25=1,'Исходные данные'!J25,0)</f>
        <v>0</v>
      </c>
      <c r="AZ16" s="251" t="str">
        <f t="shared" si="6"/>
        <v>0х0</v>
      </c>
      <c r="BA16" s="256">
        <f>IF('Исходные данные'!K25=1,('Исходные данные'!I25/'Исходные данные'!AF25-14)/2-13,0)</f>
        <v>0</v>
      </c>
      <c r="BB16" s="4">
        <f>IF(AND(350&lt;='Исходные данные'!I25,'Исходные данные'!I25&lt;=800),2,IF(AND(800&lt;'Исходные данные'!I25,'Исходные данные'!I25&lt;=1600),6,0))</f>
        <v>0</v>
      </c>
      <c r="BC16" s="507" t="str">
        <f>CONCATENATE('Исходные данные'!I25,"х",'Исходные данные'!J25)</f>
        <v>х</v>
      </c>
      <c r="BD16" s="513">
        <f>IF(OR(AX16&gt;0,AV16&gt;0),'Исходные данные'!I25/'Исходные данные'!AB25-22,0)</f>
        <v>0</v>
      </c>
      <c r="BE16" s="514">
        <f t="shared" si="7"/>
        <v>0</v>
      </c>
      <c r="BF16" s="4">
        <f>IF(AND(350&lt;='Исходные данные'!I25,'Исходные данные'!I25&lt;=800),1,IF(AND(800&lt;'Исходные данные'!I25,'Исходные данные'!I25&lt;=1600),2,0))</f>
        <v>0</v>
      </c>
      <c r="BG16" s="4">
        <f>BF16*'Исходные данные'!U25</f>
        <v>0</v>
      </c>
      <c r="BH16" s="159">
        <f>IF(OR('Исходные данные'!I25&lt;150,'Исходные данные'!J25&lt;150),1,IF(OR('Исходные данные'!I25&gt;150,'Исходные данные'!J25&gt;150),2,0))</f>
        <v>1</v>
      </c>
      <c r="BI16" s="167" t="str">
        <f>CONCATENATE('Исходные данные'!I25,"х",'Исходные данные'!J25)</f>
        <v>х</v>
      </c>
      <c r="BJ16">
        <f>IF(AND('Исходные данные'!K25=2,BH16=1),AW16,IF(AND('Исходные данные'!K25=2,BH16=2),AT16,0))</f>
        <v>0</v>
      </c>
      <c r="BK16">
        <f>IF(AV16&gt;0,'Исходные данные'!AB25*2*'Исходные данные'!U25,IF(AX16&gt;0,'Исходные данные'!AB25*2*'Исходные данные'!U25,0))</f>
        <v>0</v>
      </c>
    </row>
    <row r="17" spans="1:63" ht="43.5" customHeight="1" thickBot="1">
      <c r="B17" s="605"/>
      <c r="C17" s="606" t="s">
        <v>158</v>
      </c>
      <c r="D17" s="607" t="s">
        <v>159</v>
      </c>
      <c r="E17" s="392">
        <f t="shared" si="8"/>
        <v>11</v>
      </c>
      <c r="F17" s="391">
        <f>'Исходные данные'!B26</f>
        <v>0</v>
      </c>
      <c r="G17" s="395" t="str">
        <f>CONCATENATE('Исходные данные'!C26,"-",'Исходные данные'!D26,'Исходные данные'!E26,'Исходные данные'!H26,'Исходные данные'!I26,"х",'Исходные данные'!J26,"  ",'Исходные данные'!K26,'Исходные данные'!L26,"-",'Исходные данные'!M26,)</f>
        <v>-х  -</v>
      </c>
      <c r="H17" s="397"/>
      <c r="I17" s="510">
        <f>IF('Исходные данные'!K26=2,BJ17,IF('Исходные данные'!K26=1,AZ17,0))</f>
        <v>0</v>
      </c>
      <c r="J17" s="447"/>
      <c r="K17" s="447"/>
      <c r="L17" s="447">
        <f>'Исходные данные'!AJ26</f>
        <v>0</v>
      </c>
      <c r="M17" s="447">
        <f>IF(OR(I17=0,I17="0х0"),0,'Исходные данные'!U26)</f>
        <v>0</v>
      </c>
      <c r="N17" s="449">
        <f>IF('Исходные данные'!K26=1,'Исходные данные'!I26/'Исходные данные'!AF26+28.6,0)</f>
        <v>0</v>
      </c>
      <c r="O17" s="449">
        <f>IF('Исходные данные'!K26=1,'Исходные данные'!J26-17+48.6,0)</f>
        <v>0</v>
      </c>
      <c r="P17" s="449">
        <f>IF('Исходные данные'!K26=1,N17-BA17-24.3,0)</f>
        <v>0</v>
      </c>
      <c r="Q17" s="448">
        <f>IF('Исходные данные'!AK26=1,"07.277.00.00.016",0)</f>
        <v>0</v>
      </c>
      <c r="R17" s="449">
        <f>IF('Исходные данные'!K26=1,'Исходные данные'!AF26*2,0)</f>
        <v>0</v>
      </c>
      <c r="S17" s="449">
        <f t="shared" si="0"/>
        <v>0</v>
      </c>
      <c r="T17" s="449">
        <f t="shared" si="1"/>
        <v>0</v>
      </c>
      <c r="U17" s="449">
        <f>IF('Исходные данные'!P26="МРЗ",'Исходные данные'!BA26,IF('Исходные данные'!P26="МРП",'Исходные данные'!BA26,0))</f>
        <v>0</v>
      </c>
      <c r="V17" s="449">
        <f>'Исходные данные'!P26</f>
        <v>0</v>
      </c>
      <c r="W17" s="449">
        <f>IF(V17="МРП",'Исходные данные'!U26,IF(V17="МРЗ",'Исходные данные'!U26,0))</f>
        <v>0</v>
      </c>
      <c r="X17" s="449">
        <f>IF('Исходные данные'!S26="р",'Исходные данные'!BA26,0)</f>
        <v>0</v>
      </c>
      <c r="Y17" s="449">
        <f>IF('Исходные данные'!S26="Р",'Исходные данные'!U26,0)</f>
        <v>0</v>
      </c>
      <c r="Z17" s="449">
        <f>IF('Исходные данные'!O26="с",'Исходные данные'!BA26,0)</f>
        <v>0</v>
      </c>
      <c r="AA17" s="449">
        <f>IF('Исходные данные'!O26="с",'Исходные данные'!U26,0)</f>
        <v>0</v>
      </c>
      <c r="AB17" s="494">
        <f>IF('Исходные данные'!AZ26&gt;0,'Исходные данные'!I26,0)</f>
        <v>0</v>
      </c>
      <c r="AC17" s="494">
        <f>'Исходные данные'!BD26</f>
        <v>0</v>
      </c>
      <c r="AD17" s="494">
        <f>IF('Исходные данные'!AZ26&gt;0,'Исходные данные'!J26,0)</f>
        <v>0</v>
      </c>
      <c r="AE17" s="494">
        <f t="shared" si="9"/>
        <v>0</v>
      </c>
      <c r="AF17" s="494">
        <f>IF(AND('Исходные данные'!AQ26=1,AC17&gt;0),"07.239.06.00.022",IF(AND('Исходные данные'!D26=2,AC17&gt;0),"07.239.05.00.021",IF(AND('Исходные данные'!D26=3,AC17&gt;0),"07.239.07.00.001",0)))</f>
        <v>0</v>
      </c>
      <c r="AG17" s="449">
        <f>IF('Исходные данные'!K26=1,'Исходные данные'!J26+20,0)</f>
        <v>0</v>
      </c>
      <c r="AH17" s="449">
        <f>IF('Исходные данные'!K26=1,BB17*'Исходные данные'!U26,0)</f>
        <v>0</v>
      </c>
      <c r="AI17" s="449">
        <f>IF('Исходные данные'!K26=1,'Исходные данные'!J26+34.6,0)</f>
        <v>0</v>
      </c>
      <c r="AJ17" s="449">
        <f>IF('Исходные данные'!K26=1,BG17,0)</f>
        <v>0</v>
      </c>
      <c r="AK17" s="447">
        <f t="shared" si="2"/>
        <v>0</v>
      </c>
      <c r="AL17" s="447">
        <f t="shared" si="3"/>
        <v>0</v>
      </c>
      <c r="AM17" s="494">
        <f>IF('Исходные данные'!AP26&gt;0,'Исходные данные'!BA26,0)</f>
        <v>0</v>
      </c>
      <c r="AN17" s="498">
        <f>IF('Исходные данные'!Q26&gt;0,'Исходные данные'!U26,0)</f>
        <v>0</v>
      </c>
      <c r="AP17" s="500">
        <f>IF('Исходные данные'!I26=100,0,IF('Исходные данные'!I26=150,0,IF('Исходные данные'!I26=200,0,IF('Исходные данные'!I26=250,0,IF('Исходные данные'!I26=300,0,IF('Исходные данные'!I26=350,0,IF('Исходные данные'!I26=400,0,IF('Исходные данные'!I26=450,0,IF('Исходные данные'!I26=500,0,IF('Исходные данные'!I26=550,0,IF('Исходные данные'!I26=600,0,IF('Исходные данные'!I26=650,0,IF('Исходные данные'!I26=700,0,IF('Исходные данные'!I26=750,0,IF('Исходные данные'!I26=800,0,IF('Исходные данные'!I26=900,0,IF('Исходные данные'!I26=950,0,IF('Исходные данные'!I26=1000,0,IF('Исходные данные'!I26=1050,0,IF('Исходные данные'!I26=1100,0,IF('Исходные данные'!I26=1150,0,IF('Исходные данные'!I26=1200,'Исходные данные'!I26,IF('Исходные данные'!I26=1250,'Исходные данные'!I26,IF('Исходные данные'!I26=1300,'Исходные данные'!I26,'Исходные данные'!I26))))))))))))))))))))))))</f>
        <v>0</v>
      </c>
      <c r="AQ17" s="234">
        <f>IF('Исходные данные'!J26=100,0,IF('Исходные данные'!J26=150,0,IF('Исходные данные'!J26=200,0,IF('Исходные данные'!J26=250,0,IF('Исходные данные'!J26=300,0,IF('Исходные данные'!J26=350,0,IF('Исходные данные'!J26=400,0,IF('Исходные данные'!J26=450,0,IF('Исходные данные'!J26=500,0,IF('Исходные данные'!J26=550,0,IF('Исходные данные'!J26=600,0,IF('Исходные данные'!J26=650,0,IF('Исходные данные'!J26=700,0,IF('Исходные данные'!J26=750,0,IF('Исходные данные'!J26=800,0,IF('Исходные данные'!J26=900,0,IF('Исходные данные'!J26=950,0,IF('Исходные данные'!J26=1000,0,IF('Исходные данные'!J26=1050,0,IF('Исходные данные'!J26=1100,0,IF('Исходные данные'!J26=1150,0,IF('Исходные данные'!J26=1200,0,IF('Исходные данные'!J26=1250,0,IF('Исходные данные'!J26=1300,0,'Исходные данные'!J26))))))))))))))))))))))))</f>
        <v>0</v>
      </c>
      <c r="AR17" s="234">
        <f>'Исходные данные'!I26</f>
        <v>0</v>
      </c>
      <c r="AS17" s="234">
        <f>'Исходные данные'!J26</f>
        <v>0</v>
      </c>
      <c r="AT17" s="506" t="str">
        <f t="shared" si="4"/>
        <v>0х0</v>
      </c>
      <c r="AU17" s="234">
        <f>IF('Исходные данные'!K26=2,IF(OR('Исходные данные'!I26&lt;150,'Исходные данные'!J26&lt;150),'Исходные данные'!I26,),0)</f>
        <v>0</v>
      </c>
      <c r="AV17" s="234">
        <f>IF(OR('Исходные данные'!I26&lt;150,'Исходные данные'!J26&lt;150),'Исходные данные'!J26,0)</f>
        <v>0</v>
      </c>
      <c r="AW17" s="251" t="str">
        <f t="shared" si="5"/>
        <v>0х0</v>
      </c>
      <c r="AX17" s="251">
        <f>IF('Исходные данные'!K26=1,'Исходные данные'!I26,0)</f>
        <v>0</v>
      </c>
      <c r="AY17" s="251">
        <f>IF('Исходные данные'!K26=1,'Исходные данные'!J26,0)</f>
        <v>0</v>
      </c>
      <c r="AZ17" s="251" t="str">
        <f t="shared" si="6"/>
        <v>0х0</v>
      </c>
      <c r="BA17" s="256">
        <f>IF('Исходные данные'!K26=1,('Исходные данные'!I26/'Исходные данные'!AF26-14)/2-13,0)</f>
        <v>0</v>
      </c>
      <c r="BB17" s="4">
        <f>IF(AND(350&lt;='Исходные данные'!I26,'Исходные данные'!I26&lt;=800),2,IF(AND(800&lt;'Исходные данные'!I26,'Исходные данные'!I26&lt;=1600),6,0))</f>
        <v>0</v>
      </c>
      <c r="BC17" s="507" t="str">
        <f>CONCATENATE('Исходные данные'!I26,"х",'Исходные данные'!J26)</f>
        <v>х</v>
      </c>
      <c r="BD17" s="513">
        <f>IF(OR(AX17&gt;0,AV17&gt;0),'Исходные данные'!I26/'Исходные данные'!AB26-22,0)</f>
        <v>0</v>
      </c>
      <c r="BE17" s="514">
        <f t="shared" si="7"/>
        <v>0</v>
      </c>
      <c r="BF17" s="4">
        <f>IF(AND(350&lt;='Исходные данные'!I26,'Исходные данные'!I26&lt;=800),1,IF(AND(800&lt;'Исходные данные'!I26,'Исходные данные'!I26&lt;=1600),2,0))</f>
        <v>0</v>
      </c>
      <c r="BG17" s="4">
        <f>BF17*'Исходные данные'!U26</f>
        <v>0</v>
      </c>
      <c r="BH17" s="159">
        <f>IF(OR('Исходные данные'!I26&lt;150,'Исходные данные'!J26&lt;150),1,IF(OR('Исходные данные'!I26&gt;150,'Исходные данные'!J26&gt;150),2,0))</f>
        <v>1</v>
      </c>
      <c r="BI17" s="167" t="str">
        <f>CONCATENATE('Исходные данные'!I26,"х",'Исходные данные'!J26)</f>
        <v>х</v>
      </c>
      <c r="BJ17">
        <f>IF(AND('Исходные данные'!K26=2,BH17=1),AW17,IF(AND('Исходные данные'!K26=2,BH17=2),AT17,0))</f>
        <v>0</v>
      </c>
      <c r="BK17">
        <f>IF(AV17&gt;0,'Исходные данные'!AB26*2*'Исходные данные'!U26,IF(AX17&gt;0,'Исходные данные'!AB26*2*'Исходные данные'!U26,0))</f>
        <v>0</v>
      </c>
    </row>
    <row r="18" spans="1:63" ht="30.75" customHeight="1" thickBot="1">
      <c r="B18" s="605"/>
      <c r="C18" s="606"/>
      <c r="D18" s="607"/>
      <c r="E18" s="392">
        <f t="shared" si="8"/>
        <v>12</v>
      </c>
      <c r="F18" s="391">
        <f>'Исходные данные'!B27</f>
        <v>0</v>
      </c>
      <c r="G18" s="395" t="str">
        <f>CONCATENATE('Исходные данные'!C27,"-",'Исходные данные'!D27,'Исходные данные'!E27,'Исходные данные'!H27,'Исходные данные'!I27,"х",'Исходные данные'!J27,"  ",'Исходные данные'!K27,'Исходные данные'!L27,"-",'Исходные данные'!M27,)</f>
        <v>-х  -</v>
      </c>
      <c r="H18" s="391"/>
      <c r="I18" s="510">
        <f>IF('Исходные данные'!K27=2,BJ18,IF('Исходные данные'!K27=1,AZ18,0))</f>
        <v>0</v>
      </c>
      <c r="J18" s="447"/>
      <c r="K18" s="447"/>
      <c r="L18" s="447">
        <f>'Исходные данные'!AJ27</f>
        <v>0</v>
      </c>
      <c r="M18" s="447">
        <f>IF(OR(I18=0,I18="0х0"),0,'Исходные данные'!U27)</f>
        <v>0</v>
      </c>
      <c r="N18" s="449">
        <f>IF('Исходные данные'!K27=1,'Исходные данные'!I27/'Исходные данные'!AF27+28.6,0)</f>
        <v>0</v>
      </c>
      <c r="O18" s="449">
        <f>IF('Исходные данные'!K27=1,'Исходные данные'!J27-17+48.6,0)</f>
        <v>0</v>
      </c>
      <c r="P18" s="449">
        <f>IF('Исходные данные'!K27=1,N18-BA18-24.3,0)</f>
        <v>0</v>
      </c>
      <c r="Q18" s="448">
        <f>IF('Исходные данные'!AK27=1,"07.277.00.00.016",0)</f>
        <v>0</v>
      </c>
      <c r="R18" s="449">
        <f>IF('Исходные данные'!K27=1,'Исходные данные'!AF27*2,0)</f>
        <v>0</v>
      </c>
      <c r="S18" s="449">
        <f t="shared" si="0"/>
        <v>0</v>
      </c>
      <c r="T18" s="449">
        <f t="shared" si="1"/>
        <v>0</v>
      </c>
      <c r="U18" s="449">
        <f>IF('Исходные данные'!P27="МРЗ",'Исходные данные'!BA27,IF('Исходные данные'!P27="МРП",'Исходные данные'!BA27,0))</f>
        <v>0</v>
      </c>
      <c r="V18" s="449">
        <f>'Исходные данные'!P27</f>
        <v>0</v>
      </c>
      <c r="W18" s="449">
        <f>IF(V18="МРП",'Исходные данные'!U27,IF(V18="МРЗ",'Исходные данные'!U27,0))</f>
        <v>0</v>
      </c>
      <c r="X18" s="449">
        <f>IF('Исходные данные'!S27="р",'Исходные данные'!BA27,0)</f>
        <v>0</v>
      </c>
      <c r="Y18" s="449">
        <f>IF('Исходные данные'!S27="Р",'Исходные данные'!U27,0)</f>
        <v>0</v>
      </c>
      <c r="Z18" s="449">
        <f>IF('Исходные данные'!O27="с",'Исходные данные'!BA27,0)</f>
        <v>0</v>
      </c>
      <c r="AA18" s="449">
        <f>IF('Исходные данные'!O27="с",'Исходные данные'!U27,0)</f>
        <v>0</v>
      </c>
      <c r="AB18" s="494">
        <f>IF('Исходные данные'!AZ27&gt;0,'Исходные данные'!I27,0)</f>
        <v>0</v>
      </c>
      <c r="AC18" s="494">
        <f>'Исходные данные'!BD27</f>
        <v>0</v>
      </c>
      <c r="AD18" s="494">
        <f>IF('Исходные данные'!AZ27&gt;0,'Исходные данные'!J27,0)</f>
        <v>0</v>
      </c>
      <c r="AE18" s="494">
        <f t="shared" si="9"/>
        <v>0</v>
      </c>
      <c r="AF18" s="494">
        <f>IF(AND('Исходные данные'!AQ27=1,AC18&gt;0),"07.239.06.00.022",IF(AND('Исходные данные'!D27=2,AC18&gt;0),"07.239.05.00.021",IF(AND('Исходные данные'!D27=3,AC18&gt;0),"07.239.07.00.001",0)))</f>
        <v>0</v>
      </c>
      <c r="AG18" s="449">
        <f>IF('Исходные данные'!K27=1,'Исходные данные'!J27+20,0)</f>
        <v>0</v>
      </c>
      <c r="AH18" s="449">
        <f>IF('Исходные данные'!K27=1,BB18*'Исходные данные'!U27,0)</f>
        <v>0</v>
      </c>
      <c r="AI18" s="449">
        <f>IF('Исходные данные'!K27=1,'Исходные данные'!J27+34.6,0)</f>
        <v>0</v>
      </c>
      <c r="AJ18" s="449">
        <f>IF('Исходные данные'!K27=1,BG18,0)</f>
        <v>0</v>
      </c>
      <c r="AK18" s="447">
        <f t="shared" si="2"/>
        <v>0</v>
      </c>
      <c r="AL18" s="447">
        <f t="shared" si="3"/>
        <v>0</v>
      </c>
      <c r="AM18" s="494">
        <f>IF('Исходные данные'!AP27&gt;0,'Исходные данные'!BA27,0)</f>
        <v>0</v>
      </c>
      <c r="AN18" s="498">
        <f>IF('Исходные данные'!Q27&gt;0,'Исходные данные'!U27,0)</f>
        <v>0</v>
      </c>
      <c r="AP18" s="500">
        <f>IF('Исходные данные'!I27=100,0,IF('Исходные данные'!I27=150,0,IF('Исходные данные'!I27=200,0,IF('Исходные данные'!I27=250,0,IF('Исходные данные'!I27=300,0,IF('Исходные данные'!I27=350,0,IF('Исходные данные'!I27=400,0,IF('Исходные данные'!I27=450,0,IF('Исходные данные'!I27=500,0,IF('Исходные данные'!I27=550,0,IF('Исходные данные'!I27=600,0,IF('Исходные данные'!I27=650,0,IF('Исходные данные'!I27=700,0,IF('Исходные данные'!I27=750,0,IF('Исходные данные'!I27=800,0,IF('Исходные данные'!I27=900,0,IF('Исходные данные'!I27=950,0,IF('Исходные данные'!I27=1000,0,IF('Исходные данные'!I27=1050,0,IF('Исходные данные'!I27=1100,0,IF('Исходные данные'!I27=1150,0,IF('Исходные данные'!I27=1200,'Исходные данные'!I27,IF('Исходные данные'!I27=1250,'Исходные данные'!I27,IF('Исходные данные'!I27=1300,'Исходные данные'!I27,'Исходные данные'!I27))))))))))))))))))))))))</f>
        <v>0</v>
      </c>
      <c r="AQ18" s="234">
        <f>IF('Исходные данные'!J27=100,0,IF('Исходные данные'!J27=150,0,IF('Исходные данные'!J27=200,0,IF('Исходные данные'!J27=250,0,IF('Исходные данные'!J27=300,0,IF('Исходные данные'!J27=350,0,IF('Исходные данные'!J27=400,0,IF('Исходные данные'!J27=450,0,IF('Исходные данные'!J27=500,0,IF('Исходные данные'!J27=550,0,IF('Исходные данные'!J27=600,0,IF('Исходные данные'!J27=650,0,IF('Исходные данные'!J27=700,0,IF('Исходные данные'!J27=750,0,IF('Исходные данные'!J27=800,0,IF('Исходные данные'!J27=900,0,IF('Исходные данные'!J27=950,0,IF('Исходные данные'!J27=1000,0,IF('Исходные данные'!J27=1050,0,IF('Исходные данные'!J27=1100,0,IF('Исходные данные'!J27=1150,0,IF('Исходные данные'!J27=1200,0,IF('Исходные данные'!J27=1250,0,IF('Исходные данные'!J27=1300,0,'Исходные данные'!J27))))))))))))))))))))))))</f>
        <v>0</v>
      </c>
      <c r="AR18" s="234">
        <f>'Исходные данные'!I27</f>
        <v>0</v>
      </c>
      <c r="AS18" s="234">
        <f>'Исходные данные'!J27</f>
        <v>0</v>
      </c>
      <c r="AT18" s="506" t="str">
        <f t="shared" si="4"/>
        <v>0х0</v>
      </c>
      <c r="AU18" s="234">
        <f>IF('Исходные данные'!K27=2,IF(OR('Исходные данные'!I27&lt;150,'Исходные данные'!J27&lt;150),'Исходные данные'!I27,),0)</f>
        <v>0</v>
      </c>
      <c r="AV18" s="234">
        <f>IF(OR('Исходные данные'!I27&lt;150,'Исходные данные'!J27&lt;150),'Исходные данные'!J27,0)</f>
        <v>0</v>
      </c>
      <c r="AW18" s="251" t="str">
        <f t="shared" si="5"/>
        <v>0х0</v>
      </c>
      <c r="AX18" s="251">
        <f>IF('Исходные данные'!K27=1,'Исходные данные'!I27,0)</f>
        <v>0</v>
      </c>
      <c r="AY18" s="251">
        <f>IF('Исходные данные'!K27=1,'Исходные данные'!J27,0)</f>
        <v>0</v>
      </c>
      <c r="AZ18" s="251" t="str">
        <f t="shared" si="6"/>
        <v>0х0</v>
      </c>
      <c r="BA18" s="256">
        <f>IF('Исходные данные'!K27=1,('Исходные данные'!I27/'Исходные данные'!AF27-14)/2-13,0)</f>
        <v>0</v>
      </c>
      <c r="BB18" s="4">
        <f>IF(AND(350&lt;='Исходные данные'!I27,'Исходные данные'!I27&lt;=800),2,IF(AND(800&lt;'Исходные данные'!I27,'Исходные данные'!I27&lt;=1600),6,0))</f>
        <v>0</v>
      </c>
      <c r="BC18" s="507" t="str">
        <f>CONCATENATE('Исходные данные'!I27,"х",'Исходные данные'!J27)</f>
        <v>х</v>
      </c>
      <c r="BD18" s="513">
        <f>IF(OR(AX18&gt;0,AV18&gt;0),'Исходные данные'!I27/'Исходные данные'!AB27-22,0)</f>
        <v>0</v>
      </c>
      <c r="BE18" s="514">
        <f t="shared" si="7"/>
        <v>0</v>
      </c>
      <c r="BF18" s="4">
        <f>IF(AND(350&lt;='Исходные данные'!I27,'Исходные данные'!I27&lt;=800),1,IF(AND(800&lt;'Исходные данные'!I27,'Исходные данные'!I27&lt;=1600),2,0))</f>
        <v>0</v>
      </c>
      <c r="BG18" s="4">
        <f>BF18*'Исходные данные'!U27</f>
        <v>0</v>
      </c>
      <c r="BH18" s="159">
        <f>IF(OR('Исходные данные'!I27&lt;150,'Исходные данные'!J27&lt;150),1,IF(OR('Исходные данные'!I27&gt;150,'Исходные данные'!J27&gt;150),2,0))</f>
        <v>1</v>
      </c>
      <c r="BI18" s="167" t="str">
        <f>CONCATENATE('Исходные данные'!I27,"х",'Исходные данные'!J27)</f>
        <v>х</v>
      </c>
      <c r="BJ18">
        <f>IF(AND('Исходные данные'!K27=2,BH18=1),AW18,IF(AND('Исходные данные'!K27=2,BH18=2),AT18,0))</f>
        <v>0</v>
      </c>
      <c r="BK18">
        <f>IF(AV18&gt;0,'Исходные данные'!AB27*2*'Исходные данные'!U27,IF(AX18&gt;0,'Исходные данные'!AB27*2*'Исходные данные'!U27,0))</f>
        <v>0</v>
      </c>
    </row>
    <row r="19" spans="1:63" ht="38.25" customHeight="1" thickBot="1">
      <c r="B19" s="605"/>
      <c r="C19" s="606"/>
      <c r="D19" s="607"/>
      <c r="E19" s="392">
        <f t="shared" si="8"/>
        <v>13</v>
      </c>
      <c r="F19" s="391">
        <f>'Исходные данные'!B28</f>
        <v>0</v>
      </c>
      <c r="G19" s="395" t="str">
        <f>CONCATENATE('Исходные данные'!C28,"-",'Исходные данные'!D28,'Исходные данные'!E28,'Исходные данные'!H28,'Исходные данные'!I28,"х",'Исходные данные'!J28,"  ",'Исходные данные'!K28,'Исходные данные'!L28,"-",'Исходные данные'!M28,)</f>
        <v>-х  -</v>
      </c>
      <c r="H19" s="391"/>
      <c r="I19" s="510">
        <f>IF('Исходные данные'!K28=2,BJ19,IF('Исходные данные'!K28=1,AZ19,0))</f>
        <v>0</v>
      </c>
      <c r="J19" s="447"/>
      <c r="K19" s="447"/>
      <c r="L19" s="447">
        <f>'Исходные данные'!AJ28</f>
        <v>0</v>
      </c>
      <c r="M19" s="447">
        <f>IF(OR(I19=0,I19="0х0"),0,'Исходные данные'!U28)</f>
        <v>0</v>
      </c>
      <c r="N19" s="449">
        <f>IF('Исходные данные'!K28=1,'Исходные данные'!I28/'Исходные данные'!AF28+28.6,0)</f>
        <v>0</v>
      </c>
      <c r="O19" s="449">
        <f>IF('Исходные данные'!K28=1,'Исходные данные'!J28-17+48.6,0)</f>
        <v>0</v>
      </c>
      <c r="P19" s="449">
        <f>IF('Исходные данные'!K28=1,N19-BA19-24.3,0)</f>
        <v>0</v>
      </c>
      <c r="Q19" s="448">
        <f>IF('Исходные данные'!AK28=1,"07.277.00.00.016",0)</f>
        <v>0</v>
      </c>
      <c r="R19" s="449">
        <f>IF('Исходные данные'!K28=1,'Исходные данные'!AF28*2,0)</f>
        <v>0</v>
      </c>
      <c r="S19" s="449">
        <f t="shared" si="0"/>
        <v>0</v>
      </c>
      <c r="T19" s="449">
        <f t="shared" si="1"/>
        <v>0</v>
      </c>
      <c r="U19" s="449">
        <f>IF('Исходные данные'!P28="МРЗ",'Исходные данные'!BA28,IF('Исходные данные'!P28="МРП",'Исходные данные'!BA28,0))</f>
        <v>0</v>
      </c>
      <c r="V19" s="449">
        <f>'Исходные данные'!P28</f>
        <v>0</v>
      </c>
      <c r="W19" s="449">
        <f>IF(V19="МРП",'Исходные данные'!U28,IF(V19="МРЗ",'Исходные данные'!U28,0))</f>
        <v>0</v>
      </c>
      <c r="X19" s="449">
        <f>IF('Исходные данные'!S28="р",'Исходные данные'!BA28,0)</f>
        <v>0</v>
      </c>
      <c r="Y19" s="449">
        <f>IF('Исходные данные'!S28="Р",'Исходные данные'!U28,0)</f>
        <v>0</v>
      </c>
      <c r="Z19" s="449">
        <f>IF('Исходные данные'!O28="с",'Исходные данные'!BA28,0)</f>
        <v>0</v>
      </c>
      <c r="AA19" s="449">
        <f>IF('Исходные данные'!O28="с",'Исходные данные'!U28,0)</f>
        <v>0</v>
      </c>
      <c r="AB19" s="494">
        <f>IF('Исходные данные'!AZ28&gt;0,'Исходные данные'!I28,0)</f>
        <v>0</v>
      </c>
      <c r="AC19" s="494">
        <f>'Исходные данные'!BD28</f>
        <v>0</v>
      </c>
      <c r="AD19" s="494">
        <f>IF('Исходные данные'!AZ28&gt;0,'Исходные данные'!J28,0)</f>
        <v>0</v>
      </c>
      <c r="AE19" s="494">
        <f t="shared" si="9"/>
        <v>0</v>
      </c>
      <c r="AF19" s="494">
        <f>IF(AND('Исходные данные'!AQ28=1,AC19&gt;0),"07.239.06.00.022",IF(AND('Исходные данные'!D28=2,AC19&gt;0),"07.239.05.00.021",IF(AND('Исходные данные'!D28=3,AC19&gt;0),"07.239.07.00.001",0)))</f>
        <v>0</v>
      </c>
      <c r="AG19" s="449">
        <f>IF('Исходные данные'!K28=1,'Исходные данные'!J28+20,0)</f>
        <v>0</v>
      </c>
      <c r="AH19" s="449">
        <f>IF('Исходные данные'!K28=1,BB19*'Исходные данные'!U28,0)</f>
        <v>0</v>
      </c>
      <c r="AI19" s="449">
        <f>IF('Исходные данные'!K28=1,'Исходные данные'!J28+34.6,0)</f>
        <v>0</v>
      </c>
      <c r="AJ19" s="449">
        <f>IF('Исходные данные'!K28=1,BG19,0)</f>
        <v>0</v>
      </c>
      <c r="AK19" s="447">
        <f t="shared" si="2"/>
        <v>0</v>
      </c>
      <c r="AL19" s="447">
        <f t="shared" si="3"/>
        <v>0</v>
      </c>
      <c r="AM19" s="494">
        <f>IF('Исходные данные'!AP28&gt;0,'Исходные данные'!BA28,0)</f>
        <v>0</v>
      </c>
      <c r="AN19" s="498">
        <f>IF('Исходные данные'!Q28&gt;0,'Исходные данные'!U28,0)</f>
        <v>0</v>
      </c>
      <c r="AP19" s="500">
        <f>IF('Исходные данные'!I28=100,0,IF('Исходные данные'!I28=150,0,IF('Исходные данные'!I28=200,0,IF('Исходные данные'!I28=250,0,IF('Исходные данные'!I28=300,0,IF('Исходные данные'!I28=350,0,IF('Исходные данные'!I28=400,0,IF('Исходные данные'!I28=450,0,IF('Исходные данные'!I28=500,0,IF('Исходные данные'!I28=550,0,IF('Исходные данные'!I28=600,0,IF('Исходные данные'!I28=650,0,IF('Исходные данные'!I28=700,0,IF('Исходные данные'!I28=750,0,IF('Исходные данные'!I28=800,0,IF('Исходные данные'!I28=900,0,IF('Исходные данные'!I28=950,0,IF('Исходные данные'!I28=1000,0,IF('Исходные данные'!I28=1050,0,IF('Исходные данные'!I28=1100,0,IF('Исходные данные'!I28=1150,0,IF('Исходные данные'!I28=1200,'Исходные данные'!I28,IF('Исходные данные'!I28=1250,'Исходные данные'!I28,IF('Исходные данные'!I28=1300,'Исходные данные'!I28,'Исходные данные'!I28))))))))))))))))))))))))</f>
        <v>0</v>
      </c>
      <c r="AQ19" s="234">
        <f>IF('Исходные данные'!J28=100,0,IF('Исходные данные'!J28=150,0,IF('Исходные данные'!J28=200,0,IF('Исходные данные'!J28=250,0,IF('Исходные данные'!J28=300,0,IF('Исходные данные'!J28=350,0,IF('Исходные данные'!J28=400,0,IF('Исходные данные'!J28=450,0,IF('Исходные данные'!J28=500,0,IF('Исходные данные'!J28=550,0,IF('Исходные данные'!J28=600,0,IF('Исходные данные'!J28=650,0,IF('Исходные данные'!J28=700,0,IF('Исходные данные'!J28=750,0,IF('Исходные данные'!J28=800,0,IF('Исходные данные'!J28=900,0,IF('Исходные данные'!J28=950,0,IF('Исходные данные'!J28=1000,0,IF('Исходные данные'!J28=1050,0,IF('Исходные данные'!J28=1100,0,IF('Исходные данные'!J28=1150,0,IF('Исходные данные'!J28=1200,0,IF('Исходные данные'!J28=1250,0,IF('Исходные данные'!J28=1300,0,'Исходные данные'!J28))))))))))))))))))))))))</f>
        <v>0</v>
      </c>
      <c r="AR19" s="234">
        <f>'Исходные данные'!I28</f>
        <v>0</v>
      </c>
      <c r="AS19" s="234">
        <f>'Исходные данные'!J28</f>
        <v>0</v>
      </c>
      <c r="AT19" s="506" t="str">
        <f t="shared" si="4"/>
        <v>0х0</v>
      </c>
      <c r="AU19" s="234">
        <f>IF('Исходные данные'!K28=2,IF(OR('Исходные данные'!I28&lt;150,'Исходные данные'!J28&lt;150),'Исходные данные'!I28,),0)</f>
        <v>0</v>
      </c>
      <c r="AV19" s="234">
        <f>IF(OR('Исходные данные'!I28&lt;150,'Исходные данные'!J28&lt;150),'Исходные данные'!J28,0)</f>
        <v>0</v>
      </c>
      <c r="AW19" s="251" t="str">
        <f t="shared" si="5"/>
        <v>0х0</v>
      </c>
      <c r="AX19" s="251">
        <f>IF('Исходные данные'!K28=1,'Исходные данные'!I28,0)</f>
        <v>0</v>
      </c>
      <c r="AY19" s="251">
        <f>IF('Исходные данные'!K28=1,'Исходные данные'!J28,0)</f>
        <v>0</v>
      </c>
      <c r="AZ19" s="251" t="str">
        <f t="shared" si="6"/>
        <v>0х0</v>
      </c>
      <c r="BA19" s="256">
        <f>IF('Исходные данные'!K28=1,('Исходные данные'!I28/'Исходные данные'!AF28-14)/2-13,0)</f>
        <v>0</v>
      </c>
      <c r="BB19" s="4">
        <f>IF(AND(350&lt;='Исходные данные'!I28,'Исходные данные'!I28&lt;=800),2,IF(AND(800&lt;'Исходные данные'!I28,'Исходные данные'!I28&lt;=1600),6,0))</f>
        <v>0</v>
      </c>
      <c r="BC19" s="507" t="str">
        <f>CONCATENATE('Исходные данные'!I28,"х",'Исходные данные'!J28)</f>
        <v>х</v>
      </c>
      <c r="BD19" s="513">
        <f>IF(OR(AX19&gt;0,AV19&gt;0),'Исходные данные'!I28/'Исходные данные'!AB28-22,0)</f>
        <v>0</v>
      </c>
      <c r="BE19" s="514">
        <f t="shared" si="7"/>
        <v>0</v>
      </c>
      <c r="BF19" s="4">
        <f>IF(AND(350&lt;='Исходные данные'!I28,'Исходные данные'!I28&lt;=800),1,IF(AND(800&lt;'Исходные данные'!I28,'Исходные данные'!I28&lt;=1600),2,0))</f>
        <v>0</v>
      </c>
      <c r="BG19" s="4">
        <f>BF19*'Исходные данные'!U28</f>
        <v>0</v>
      </c>
      <c r="BH19" s="159">
        <f>IF(OR('Исходные данные'!I28&lt;150,'Исходные данные'!J28&lt;150),1,IF(OR('Исходные данные'!I28&gt;150,'Исходные данные'!J28&gt;150),2,0))</f>
        <v>1</v>
      </c>
      <c r="BI19" s="167" t="str">
        <f>CONCATENATE('Исходные данные'!I28,"х",'Исходные данные'!J28)</f>
        <v>х</v>
      </c>
      <c r="BJ19">
        <f>IF(AND('Исходные данные'!K28=2,BH19=1),AW19,IF(AND('Исходные данные'!K28=2,BH19=2),AT19,0))</f>
        <v>0</v>
      </c>
      <c r="BK19">
        <f>IF(AV19&gt;0,'Исходные данные'!AB28*2*'Исходные данные'!U28,IF(AX19&gt;0,'Исходные данные'!AB28*2*'Исходные данные'!U28,0))</f>
        <v>0</v>
      </c>
    </row>
    <row r="20" spans="1:63" ht="40.5" customHeight="1" thickBot="1">
      <c r="B20" s="605"/>
      <c r="C20" s="606"/>
      <c r="D20" s="607"/>
      <c r="E20" s="392">
        <f t="shared" si="8"/>
        <v>14</v>
      </c>
      <c r="F20" s="391">
        <f>'Исходные данные'!B29</f>
        <v>0</v>
      </c>
      <c r="G20" s="395" t="str">
        <f>CONCATENATE('Исходные данные'!C29,"-",'Исходные данные'!D29,'Исходные данные'!E29,'Исходные данные'!H29,'Исходные данные'!I29,"х",'Исходные данные'!J29,"  ",'Исходные данные'!K29,'Исходные данные'!L29,"-",'Исходные данные'!M29,)</f>
        <v>-х  -</v>
      </c>
      <c r="H20" s="391"/>
      <c r="I20" s="510">
        <f>IF('Исходные данные'!K29=2,BJ20,IF('Исходные данные'!K29=1,AZ20,0))</f>
        <v>0</v>
      </c>
      <c r="J20" s="447"/>
      <c r="K20" s="447"/>
      <c r="L20" s="447">
        <f>'Исходные данные'!AJ29</f>
        <v>0</v>
      </c>
      <c r="M20" s="447">
        <f>IF(OR(I20=0,I20="0х0"),0,'Исходные данные'!U29)</f>
        <v>0</v>
      </c>
      <c r="N20" s="449">
        <f>IF('Исходные данные'!K29=1,'Исходные данные'!I29/'Исходные данные'!AF29+28.6,0)</f>
        <v>0</v>
      </c>
      <c r="O20" s="449">
        <f>IF('Исходные данные'!K29=1,'Исходные данные'!J29-17+48.6,0)</f>
        <v>0</v>
      </c>
      <c r="P20" s="449">
        <f>IF('Исходные данные'!K29=1,N20-BA20-24.3,0)</f>
        <v>0</v>
      </c>
      <c r="Q20" s="448">
        <f>IF('Исходные данные'!AK29=1,"07.277.00.00.016",0)</f>
        <v>0</v>
      </c>
      <c r="R20" s="449">
        <f>IF('Исходные данные'!K29=1,'Исходные данные'!AF29*2,0)</f>
        <v>0</v>
      </c>
      <c r="S20" s="449">
        <f t="shared" si="0"/>
        <v>0</v>
      </c>
      <c r="T20" s="449">
        <f t="shared" si="1"/>
        <v>0</v>
      </c>
      <c r="U20" s="449">
        <f>IF('Исходные данные'!P29="МРЗ",'Исходные данные'!BA29,IF('Исходные данные'!P29="МРП",'Исходные данные'!BA29,0))</f>
        <v>0</v>
      </c>
      <c r="V20" s="449">
        <f>'Исходные данные'!P29</f>
        <v>0</v>
      </c>
      <c r="W20" s="449">
        <f>IF(V20="МРП",'Исходные данные'!U29,IF(V20="МРЗ",'Исходные данные'!U29,0))</f>
        <v>0</v>
      </c>
      <c r="X20" s="449">
        <f>IF('Исходные данные'!S29="р",'Исходные данные'!BA29,0)</f>
        <v>0</v>
      </c>
      <c r="Y20" s="449">
        <f>IF('Исходные данные'!S29="Р",'Исходные данные'!U29,0)</f>
        <v>0</v>
      </c>
      <c r="Z20" s="449">
        <f>IF('Исходные данные'!O29="с",'Исходные данные'!BA29,0)</f>
        <v>0</v>
      </c>
      <c r="AA20" s="449">
        <f>IF('Исходные данные'!O29="с",'Исходные данные'!U29,0)</f>
        <v>0</v>
      </c>
      <c r="AB20" s="494">
        <f>IF('Исходные данные'!AZ29&gt;0,'Исходные данные'!I29,0)</f>
        <v>0</v>
      </c>
      <c r="AC20" s="494">
        <f>'Исходные данные'!BD29</f>
        <v>0</v>
      </c>
      <c r="AD20" s="494">
        <f>IF('Исходные данные'!AZ29&gt;0,'Исходные данные'!J29,0)</f>
        <v>0</v>
      </c>
      <c r="AE20" s="494">
        <f t="shared" si="9"/>
        <v>0</v>
      </c>
      <c r="AF20" s="494">
        <f>IF(AND('Исходные данные'!AQ29=1,AC20&gt;0),"07.239.06.00.022",IF(AND('Исходные данные'!D29=2,AC20&gt;0),"07.239.05.00.021",IF(AND('Исходные данные'!D29=3,AC20&gt;0),"07.239.07.00.001",0)))</f>
        <v>0</v>
      </c>
      <c r="AG20" s="449">
        <f>IF('Исходные данные'!K29=1,'Исходные данные'!J29+20,0)</f>
        <v>0</v>
      </c>
      <c r="AH20" s="449">
        <f>IF('Исходные данные'!K29=1,BB20*'Исходные данные'!U29,0)</f>
        <v>0</v>
      </c>
      <c r="AI20" s="449">
        <f>IF('Исходные данные'!K29=1,'Исходные данные'!J29+34.6,0)</f>
        <v>0</v>
      </c>
      <c r="AJ20" s="449">
        <f>IF('Исходные данные'!K29=1,BG20,0)</f>
        <v>0</v>
      </c>
      <c r="AK20" s="447">
        <f t="shared" si="2"/>
        <v>0</v>
      </c>
      <c r="AL20" s="447">
        <f t="shared" si="3"/>
        <v>0</v>
      </c>
      <c r="AM20" s="494">
        <f>IF('Исходные данные'!AP29&gt;0,'Исходные данные'!BA29,0)</f>
        <v>0</v>
      </c>
      <c r="AN20" s="498">
        <f>IF('Исходные данные'!Q29&gt;0,'Исходные данные'!U29,0)</f>
        <v>0</v>
      </c>
      <c r="AP20" s="500">
        <f>IF('Исходные данные'!I29=100,0,IF('Исходные данные'!I29=150,0,IF('Исходные данные'!I29=200,0,IF('Исходные данные'!I29=250,0,IF('Исходные данные'!I29=300,0,IF('Исходные данные'!I29=350,0,IF('Исходные данные'!I29=400,0,IF('Исходные данные'!I29=450,0,IF('Исходные данные'!I29=500,0,IF('Исходные данные'!I29=550,0,IF('Исходные данные'!I29=600,0,IF('Исходные данные'!I29=650,0,IF('Исходные данные'!I29=700,0,IF('Исходные данные'!I29=750,0,IF('Исходные данные'!I29=800,0,IF('Исходные данные'!I29=900,0,IF('Исходные данные'!I29=950,0,IF('Исходные данные'!I29=1000,0,IF('Исходные данные'!I29=1050,0,IF('Исходные данные'!I29=1100,0,IF('Исходные данные'!I29=1150,0,IF('Исходные данные'!I29=1200,'Исходные данные'!I29,IF('Исходные данные'!I29=1250,'Исходные данные'!I29,IF('Исходные данные'!I29=1300,'Исходные данные'!I29,'Исходные данные'!I29))))))))))))))))))))))))</f>
        <v>0</v>
      </c>
      <c r="AQ20" s="234">
        <f>IF('Исходные данные'!J29=100,0,IF('Исходные данные'!J29=150,0,IF('Исходные данные'!J29=200,0,IF('Исходные данные'!J29=250,0,IF('Исходные данные'!J29=300,0,IF('Исходные данные'!J29=350,0,IF('Исходные данные'!J29=400,0,IF('Исходные данные'!J29=450,0,IF('Исходные данные'!J29=500,0,IF('Исходные данные'!J29=550,0,IF('Исходные данные'!J29=600,0,IF('Исходные данные'!J29=650,0,IF('Исходные данные'!J29=700,0,IF('Исходные данные'!J29=750,0,IF('Исходные данные'!J29=800,0,IF('Исходные данные'!J29=900,0,IF('Исходные данные'!J29=950,0,IF('Исходные данные'!J29=1000,0,IF('Исходные данные'!J29=1050,0,IF('Исходные данные'!J29=1100,0,IF('Исходные данные'!J29=1150,0,IF('Исходные данные'!J29=1200,0,IF('Исходные данные'!J29=1250,0,IF('Исходные данные'!J29=1300,0,'Исходные данные'!J29))))))))))))))))))))))))</f>
        <v>0</v>
      </c>
      <c r="AR20" s="234">
        <f>'Исходные данные'!I29</f>
        <v>0</v>
      </c>
      <c r="AS20" s="234">
        <f>'Исходные данные'!J29</f>
        <v>0</v>
      </c>
      <c r="AT20" s="506" t="str">
        <f t="shared" si="4"/>
        <v>0х0</v>
      </c>
      <c r="AU20" s="234">
        <f>IF('Исходные данные'!K29=2,IF(OR('Исходные данные'!I29&lt;150,'Исходные данные'!J29&lt;150),'Исходные данные'!I29,),0)</f>
        <v>0</v>
      </c>
      <c r="AV20" s="234">
        <f>IF(OR('Исходные данные'!I29&lt;150,'Исходные данные'!J29&lt;150),'Исходные данные'!J29,0)</f>
        <v>0</v>
      </c>
      <c r="AW20" s="251" t="str">
        <f t="shared" si="5"/>
        <v>0х0</v>
      </c>
      <c r="AX20" s="251">
        <f>IF('Исходные данные'!K29=1,'Исходные данные'!I29,0)</f>
        <v>0</v>
      </c>
      <c r="AY20" s="251">
        <f>IF('Исходные данные'!K29=1,'Исходные данные'!J29,0)</f>
        <v>0</v>
      </c>
      <c r="AZ20" s="251" t="str">
        <f t="shared" si="6"/>
        <v>0х0</v>
      </c>
      <c r="BA20" s="256">
        <f>IF('Исходные данные'!K29=1,('Исходные данные'!I29/'Исходные данные'!AF29-14)/2-13,0)</f>
        <v>0</v>
      </c>
      <c r="BB20" s="4">
        <f>IF(AND(350&lt;='Исходные данные'!I29,'Исходные данные'!I29&lt;=800),2,IF(AND(800&lt;'Исходные данные'!I29,'Исходные данные'!I29&lt;=1600),6,0))</f>
        <v>0</v>
      </c>
      <c r="BC20" s="507" t="str">
        <f>CONCATENATE('Исходные данные'!I29,"х",'Исходные данные'!J29)</f>
        <v>х</v>
      </c>
      <c r="BD20" s="513">
        <f>IF(OR(AX20&gt;0,AV20&gt;0),'Исходные данные'!I29/'Исходные данные'!AB29-22,0)</f>
        <v>0</v>
      </c>
      <c r="BE20" s="514">
        <f t="shared" si="7"/>
        <v>0</v>
      </c>
      <c r="BF20" s="4">
        <f>IF(AND(350&lt;='Исходные данные'!I29,'Исходные данные'!I29&lt;=800),1,IF(AND(800&lt;'Исходные данные'!I29,'Исходные данные'!I29&lt;=1600),2,0))</f>
        <v>0</v>
      </c>
      <c r="BG20" s="4">
        <f>BF20*'Исходные данные'!U29</f>
        <v>0</v>
      </c>
      <c r="BH20" s="159">
        <f>IF(OR('Исходные данные'!I29&lt;150,'Исходные данные'!J29&lt;150),1,IF(OR('Исходные данные'!I29&gt;150,'Исходные данные'!J29&gt;150),2,0))</f>
        <v>1</v>
      </c>
      <c r="BI20" s="167" t="str">
        <f>CONCATENATE('Исходные данные'!I29,"х",'Исходные данные'!J29)</f>
        <v>х</v>
      </c>
      <c r="BJ20">
        <f>IF(AND('Исходные данные'!K29=2,BH20=1),AW20,IF(AND('Исходные данные'!K29=2,BH20=2),AT20,0))</f>
        <v>0</v>
      </c>
      <c r="BK20">
        <f>IF(AV20&gt;0,'Исходные данные'!AB29*2*'Исходные данные'!U29,IF(AX20&gt;0,'Исходные данные'!AB29*2*'Исходные данные'!U29,0))</f>
        <v>0</v>
      </c>
    </row>
    <row r="21" spans="1:63" ht="32.25" customHeight="1" thickBot="1">
      <c r="B21" s="605"/>
      <c r="C21" s="606"/>
      <c r="D21" s="607"/>
      <c r="E21" s="393">
        <f t="shared" si="8"/>
        <v>15</v>
      </c>
      <c r="F21" s="394">
        <f>'Исходные данные'!B30</f>
        <v>0</v>
      </c>
      <c r="G21" s="396" t="str">
        <f>CONCATENATE('Исходные данные'!C30,"-",'Исходные данные'!D30,'Исходные данные'!E30,'Исходные данные'!H30,'Исходные данные'!I30,"х",'Исходные данные'!J30,"  ",'Исходные данные'!K30,'Исходные данные'!L30,"-",'Исходные данные'!M30,)</f>
        <v>-х  -</v>
      </c>
      <c r="H21" s="394"/>
      <c r="I21" s="510">
        <f>IF('Исходные данные'!K30=2,BJ21,IF('Исходные данные'!K30=1,AZ21,0))</f>
        <v>0</v>
      </c>
      <c r="J21" s="447"/>
      <c r="K21" s="447"/>
      <c r="L21" s="447">
        <f>'Исходные данные'!AJ30</f>
        <v>0</v>
      </c>
      <c r="M21" s="447">
        <f>IF(OR(I21=0,I21="0х0"),0,'Исходные данные'!U30)</f>
        <v>0</v>
      </c>
      <c r="N21" s="451">
        <f>IF('Исходные данные'!K30=1,'Исходные данные'!I30/'Исходные данные'!AF30+28.6,0)</f>
        <v>0</v>
      </c>
      <c r="O21" s="451">
        <f>IF('Исходные данные'!K30=1,'Исходные данные'!J30-17+48.6,0)</f>
        <v>0</v>
      </c>
      <c r="P21" s="451">
        <f>IF('Исходные данные'!K30=1,N21-BA21-24.3,0)</f>
        <v>0</v>
      </c>
      <c r="Q21" s="450">
        <f>IF('Исходные данные'!AK30=1,"07.277.00.00.016",0)</f>
        <v>0</v>
      </c>
      <c r="R21" s="451">
        <f>IF('Исходные данные'!K30=1,'Исходные данные'!AF30*2,0)</f>
        <v>0</v>
      </c>
      <c r="S21" s="451">
        <f t="shared" si="0"/>
        <v>0</v>
      </c>
      <c r="T21" s="451">
        <f t="shared" si="1"/>
        <v>0</v>
      </c>
      <c r="U21" s="451">
        <f>IF('Исходные данные'!P30="МРЗ",'Исходные данные'!BA30,IF('Исходные данные'!P30="МРП",'Исходные данные'!BA30,0))</f>
        <v>0</v>
      </c>
      <c r="V21" s="451">
        <f>'Исходные данные'!P30</f>
        <v>0</v>
      </c>
      <c r="W21" s="451">
        <f>IF(V21="МРП",'Исходные данные'!U30,IF(V21="МРЗ",'Исходные данные'!U30,0))</f>
        <v>0</v>
      </c>
      <c r="X21" s="451">
        <f>IF('Исходные данные'!S30="р",'Исходные данные'!BA30,0)</f>
        <v>0</v>
      </c>
      <c r="Y21" s="451">
        <f>IF('Исходные данные'!S30="Р",'Исходные данные'!U30,0)</f>
        <v>0</v>
      </c>
      <c r="Z21" s="451">
        <f>IF('Исходные данные'!O30="с",'Исходные данные'!BA30,0)</f>
        <v>0</v>
      </c>
      <c r="AA21" s="451">
        <f>IF('Исходные данные'!O30="с",'Исходные данные'!U30,0)</f>
        <v>0</v>
      </c>
      <c r="AB21" s="495">
        <f>IF('Исходные данные'!AZ30&gt;0,'Исходные данные'!I30,0)</f>
        <v>0</v>
      </c>
      <c r="AC21" s="495">
        <f>'Исходные данные'!BD30</f>
        <v>0</v>
      </c>
      <c r="AD21" s="495">
        <f>IF('Исходные данные'!AZ30&gt;0,'Исходные данные'!J30,0)</f>
        <v>0</v>
      </c>
      <c r="AE21" s="495">
        <f t="shared" si="9"/>
        <v>0</v>
      </c>
      <c r="AF21" s="495">
        <f>IF(AND('Исходные данные'!AQ30=1,AC21&gt;0),"07.239.06.00.022",IF(AND('Исходные данные'!D30=2,AC21&gt;0),"07.239.05.00.021",IF(AND('Исходные данные'!D30=3,AC21&gt;0),"07.239.07.00.001",0)))</f>
        <v>0</v>
      </c>
      <c r="AG21" s="451">
        <f>IF('Исходные данные'!K30=1,'Исходные данные'!J30+20,0)</f>
        <v>0</v>
      </c>
      <c r="AH21" s="451">
        <f>IF('Исходные данные'!K30=1,BB21*'Исходные данные'!U30,0)</f>
        <v>0</v>
      </c>
      <c r="AI21" s="451">
        <f>IF('Исходные данные'!K30=1,'Исходные данные'!J30+34.6,0)</f>
        <v>0</v>
      </c>
      <c r="AJ21" s="451">
        <f>IF('Исходные данные'!K30=1,BG21,0)</f>
        <v>0</v>
      </c>
      <c r="AK21" s="447">
        <f t="shared" si="2"/>
        <v>0</v>
      </c>
      <c r="AL21" s="447">
        <f t="shared" si="3"/>
        <v>0</v>
      </c>
      <c r="AM21" s="495">
        <f>IF('Исходные данные'!AP30&gt;0,'Исходные данные'!BA30,0)</f>
        <v>0</v>
      </c>
      <c r="AN21" s="499">
        <f>IF('Исходные данные'!Q30&gt;0,'Исходные данные'!U30,0)</f>
        <v>0</v>
      </c>
      <c r="AP21" s="500">
        <f>IF('Исходные данные'!I30=100,0,IF('Исходные данные'!I30=150,0,IF('Исходные данные'!I30=200,0,IF('Исходные данные'!I30=250,0,IF('Исходные данные'!I30=300,0,IF('Исходные данные'!I30=350,0,IF('Исходные данные'!I30=400,0,IF('Исходные данные'!I30=450,0,IF('Исходные данные'!I30=500,0,IF('Исходные данные'!I30=550,0,IF('Исходные данные'!I30=600,0,IF('Исходные данные'!I30=650,0,IF('Исходные данные'!I30=700,0,IF('Исходные данные'!I30=750,0,IF('Исходные данные'!I30=800,0,IF('Исходные данные'!I30=900,0,IF('Исходные данные'!I30=950,0,IF('Исходные данные'!I30=1000,0,IF('Исходные данные'!I30=1050,0,IF('Исходные данные'!I30=1100,0,IF('Исходные данные'!I30=1150,0,IF('Исходные данные'!I30=1200,'Исходные данные'!I30,IF('Исходные данные'!I30=1250,'Исходные данные'!I30,IF('Исходные данные'!I30=1300,'Исходные данные'!I30,'Исходные данные'!I30))))))))))))))))))))))))</f>
        <v>0</v>
      </c>
      <c r="AQ21" s="318">
        <f>IF('Исходные данные'!J30=100,0,IF('Исходные данные'!J30=150,0,IF('Исходные данные'!J30=200,0,IF('Исходные данные'!J30=250,0,IF('Исходные данные'!J30=300,0,IF('Исходные данные'!J30=350,0,IF('Исходные данные'!J30=400,0,IF('Исходные данные'!J30=450,0,IF('Исходные данные'!J30=500,0,IF('Исходные данные'!J30=550,0,IF('Исходные данные'!J30=600,0,IF('Исходные данные'!J30=650,0,IF('Исходные данные'!J30=700,0,IF('Исходные данные'!J30=750,0,IF('Исходные данные'!J30=800,0,IF('Исходные данные'!J30=900,0,IF('Исходные данные'!J30=950,0,IF('Исходные данные'!J30=1000,0,IF('Исходные данные'!J30=1050,0,IF('Исходные данные'!J30=1100,0,IF('Исходные данные'!J30=1150,0,IF('Исходные данные'!J30=1200,0,IF('Исходные данные'!J30=1250,0,IF('Исходные данные'!J30=1300,0,'Исходные данные'!J30))))))))))))))))))))))))</f>
        <v>0</v>
      </c>
      <c r="AR21" s="318">
        <f>'Исходные данные'!I30</f>
        <v>0</v>
      </c>
      <c r="AS21" s="318">
        <f>'Исходные данные'!J30</f>
        <v>0</v>
      </c>
      <c r="AT21" s="252" t="str">
        <f t="shared" si="4"/>
        <v>0х0</v>
      </c>
      <c r="AU21" s="318">
        <f>IF('Исходные данные'!K30=2,IF(OR('Исходные данные'!I30&lt;150,'Исходные данные'!J30&lt;150),'Исходные данные'!I30,),0)</f>
        <v>0</v>
      </c>
      <c r="AV21" s="318">
        <f>IF(OR('Исходные данные'!I30&lt;150,'Исходные данные'!J30&lt;150),'Исходные данные'!J30,0)</f>
        <v>0</v>
      </c>
      <c r="AW21" s="319" t="str">
        <f t="shared" si="5"/>
        <v>0х0</v>
      </c>
      <c r="AX21" s="319">
        <f>IF('Исходные данные'!K30=1,'Исходные данные'!I30,0)</f>
        <v>0</v>
      </c>
      <c r="AY21" s="319">
        <f>IF('Исходные данные'!K30=1,'Исходные данные'!J30,0)</f>
        <v>0</v>
      </c>
      <c r="AZ21" s="319" t="str">
        <f t="shared" si="6"/>
        <v>0х0</v>
      </c>
      <c r="BA21" s="320">
        <f>IF('Исходные данные'!K30=1,('Исходные данные'!I30/'Исходные данные'!AF30-14)/2-13,0)</f>
        <v>0</v>
      </c>
      <c r="BB21" s="126">
        <f>IF(AND(350&lt;='Исходные данные'!I30,'Исходные данные'!I30&lt;=800),2,IF(AND(800&lt;'Исходные данные'!I30,'Исходные данные'!I30&lt;=1600),6,0))</f>
        <v>0</v>
      </c>
      <c r="BC21" s="508" t="str">
        <f>CONCATENATE('Исходные данные'!I30,"х",'Исходные данные'!J30)</f>
        <v>х</v>
      </c>
      <c r="BD21" s="513">
        <f>IF(OR(AX21&gt;0,AV21&gt;0),'Исходные данные'!I30/'Исходные данные'!AB30-22,0)</f>
        <v>0</v>
      </c>
      <c r="BE21" s="514">
        <f t="shared" si="7"/>
        <v>0</v>
      </c>
      <c r="BF21" s="126">
        <f>IF(AND(350&lt;='Исходные данные'!I30,'Исходные данные'!I30&lt;=800),1,IF(AND(800&lt;'Исходные данные'!I30,'Исходные данные'!I30&lt;=1600),2,0))</f>
        <v>0</v>
      </c>
      <c r="BG21" s="126">
        <f>BF21*'Исходные данные'!U30</f>
        <v>0</v>
      </c>
      <c r="BH21" s="160">
        <f>IF(OR('Исходные данные'!I30&lt;150,'Исходные данные'!J30&lt;150),1,IF(OR('Исходные данные'!I30&gt;150,'Исходные данные'!J30&gt;150),2,0))</f>
        <v>1</v>
      </c>
      <c r="BI21" s="167" t="str">
        <f>CONCATENATE('Исходные данные'!I30,"х",'Исходные данные'!J30)</f>
        <v>х</v>
      </c>
      <c r="BJ21">
        <f>IF(AND('Исходные данные'!K30=2,BH21=1),AW21,IF(AND('Исходные данные'!K30=2,BH21=2),AT21,0))</f>
        <v>0</v>
      </c>
      <c r="BK21">
        <f>IF(AV21&gt;0,'Исходные данные'!AB30*2*'Исходные данные'!U30,IF(AX21&gt;0,'Исходные данные'!AB30*2*'Исходные данные'!U30,0))</f>
        <v>0</v>
      </c>
    </row>
    <row r="22" spans="1:63" ht="18.75" hidden="1" customHeight="1">
      <c r="B22" s="605"/>
      <c r="C22" s="606"/>
      <c r="D22" s="607"/>
      <c r="E22" s="253">
        <f t="shared" si="8"/>
        <v>16</v>
      </c>
      <c r="F22" s="174"/>
      <c r="G22" s="174"/>
      <c r="H22" s="174"/>
      <c r="I22" s="315" t="e">
        <f>IF(AND('Исходные данные'!#REF!=2,'Исходные данные'!#REF!&lt;150),AW22,IF(AND('Исходные данные'!#REF!=2,'Исходные данные'!#REF!&gt;150),AT22,0))</f>
        <v>#REF!</v>
      </c>
      <c r="J22" s="154"/>
      <c r="K22" s="154"/>
      <c r="L22" s="316" t="e">
        <f>'Исходные данные'!#REF!</f>
        <v>#REF!</v>
      </c>
      <c r="M22" s="154" t="e">
        <f>'Исходные данные'!#REF!</f>
        <v>#REF!</v>
      </c>
      <c r="N22" s="155" t="e">
        <f>IF(корпус!F32&gt;1,'Исходные данные'!#REF!/корпус!F32-12.5*(корпус!F32-1)+22,'Исходные данные'!#REF!+22)</f>
        <v>#REF!</v>
      </c>
      <c r="O22" s="156" t="e">
        <f>IF(корпус!G32&gt;1,'Исходные данные'!#REF!/корпус!G32-12.5*(корпус!G32-1)+22,'Исходные данные'!#REF!+22)</f>
        <v>#REF!</v>
      </c>
      <c r="P22" s="156"/>
      <c r="Q22" s="316" t="e">
        <f>IF('Исходные данные'!#REF!=1,"07.277.00.00.016",0)</f>
        <v>#REF!</v>
      </c>
      <c r="R22" s="316" t="e">
        <f>IF('Исходные данные'!#REF!=1,'Исходные данные'!#REF!*2,0)</f>
        <v>#REF!</v>
      </c>
      <c r="S22" s="118"/>
      <c r="T22" s="118"/>
      <c r="U22" s="496">
        <f>IF('Исходные данные'!P31="МРЗ",'Исходные данные'!BA31,IF('Исходные данные'!P31="МРП",'Исходные данные'!BA31,0))</f>
        <v>0</v>
      </c>
      <c r="V22" s="496">
        <f>'Исходные данные'!P31</f>
        <v>0</v>
      </c>
      <c r="W22" s="496">
        <f>IF(V22="МРП",'Исходные данные'!U31,IF(V22="МРЗ",'Исходные данные'!U31,0))</f>
        <v>0</v>
      </c>
      <c r="X22" s="496">
        <f>IF('Исходные данные'!S31="р",'Исходные данные'!BA31,0)</f>
        <v>0</v>
      </c>
      <c r="Y22" s="118"/>
      <c r="Z22" s="118"/>
      <c r="AA22" s="118"/>
      <c r="AB22" s="118"/>
      <c r="AC22" s="118"/>
      <c r="AD22" s="316" t="e">
        <f>IF('Исходные данные'!#REF!=1,'Исходные данные'!#REF!,IF('Исходные данные'!#REF!=2,'Исходные данные'!#REF!,IF('Исходные данные'!#REF!=3,'Исходные данные'!#REF!,IF('Исходные данные'!#REF!=3,'Исходные данные'!#REF!,0))))</f>
        <v>#REF!</v>
      </c>
      <c r="AE22" s="316"/>
      <c r="AF22" s="316"/>
      <c r="AG22" s="316" t="e">
        <f>IF('Исходные данные'!#REF!=1,'Исходные данные'!#REF!+20,0)</f>
        <v>#REF!</v>
      </c>
      <c r="AH22" s="316" t="e">
        <f>IF('Исходные данные'!#REF!=1,BB22,0)</f>
        <v>#REF!</v>
      </c>
      <c r="AI22" s="149" t="e">
        <f t="shared" ref="AI22:AI27" si="10">I22-3</f>
        <v>#REF!</v>
      </c>
      <c r="AJ22" s="316" t="e">
        <f t="shared" ref="AJ22:AJ27" si="11">R22/2*M22</f>
        <v>#REF!</v>
      </c>
      <c r="AP22" s="500">
        <f>IF('Исходные данные'!I31=100,0,IF('Исходные данные'!I31=150,0,IF('Исходные данные'!I31=200,0,IF('Исходные данные'!I31=250,0,IF('Исходные данные'!I31=300,0,IF('Исходные данные'!I31=350,0,IF('Исходные данные'!I31=400,0,IF('Исходные данные'!I31=450,0,IF('Исходные данные'!I31=500,0,IF('Исходные данные'!I31=550,0,IF('Исходные данные'!I31=600,0,IF('Исходные данные'!I31=650,0,IF('Исходные данные'!I31=700,0,IF('Исходные данные'!I31=750,0,IF('Исходные данные'!I31=800,0,IF('Исходные данные'!I31=900,0,IF('Исходные данные'!I31=950,0,IF('Исходные данные'!I31=1000,0,IF('Исходные данные'!I31=1050,0,IF('Исходные данные'!I31=1100,0,IF('Исходные данные'!I31=1150,0,IF('Исходные данные'!I31=1200,'Исходные данные'!I31,IF('Исходные данные'!I31=1250,'Исходные данные'!I31,IF('Исходные данные'!I31=1300,0,'Исходные данные'!I31))))))))))))))))))))))))</f>
        <v>0</v>
      </c>
      <c r="BC22" s="174" t="e">
        <f>CONCATENATE('Исходные данные'!#REF!,"х",'Исходные данные'!#REF!)</f>
        <v>#REF!</v>
      </c>
      <c r="BD22" s="10"/>
      <c r="BE22" s="515"/>
    </row>
    <row r="23" spans="1:63" ht="18.75" hidden="1" customHeight="1">
      <c r="B23" s="605"/>
      <c r="C23" s="606"/>
      <c r="D23" s="607"/>
      <c r="E23" s="116">
        <f t="shared" si="8"/>
        <v>17</v>
      </c>
      <c r="F23" s="4"/>
      <c r="G23" s="4"/>
      <c r="H23" s="4"/>
      <c r="I23" s="254">
        <f>IF(AND('Исходные данные'!K31=2,'Исходные данные'!I31&lt;150),AW23,IF(AND('Исходные данные'!K31=2,'Исходные данные'!I31&gt;150),AT23,0))</f>
        <v>0</v>
      </c>
      <c r="J23" s="154"/>
      <c r="K23" s="154"/>
      <c r="L23" s="255">
        <f>'Исходные данные'!AJ31</f>
        <v>0</v>
      </c>
      <c r="M23" s="154">
        <f>'Исходные данные'!U31</f>
        <v>0</v>
      </c>
      <c r="N23" s="155">
        <f>IF(корпус!F33&gt;1,'Исходные данные'!I31/корпус!F33-12.5*(корпус!F33-1)+22,'Исходные данные'!I31+22)</f>
        <v>22</v>
      </c>
      <c r="O23" s="156">
        <f>IF(корпус!G33&gt;1,'Исходные данные'!J31/корпус!G33-12.5*(корпус!G33-1)+22,'Исходные данные'!J31+22)</f>
        <v>22</v>
      </c>
      <c r="P23" s="156"/>
      <c r="Q23" s="255">
        <f>IF('Исходные данные'!AK31=1,"07.277.00.00.016",0)</f>
        <v>0</v>
      </c>
      <c r="R23" s="255">
        <f>IF('Исходные данные'!K31=1,'Исходные данные'!AF31*2,0)</f>
        <v>0</v>
      </c>
      <c r="S23" s="118"/>
      <c r="T23" s="118"/>
      <c r="U23" s="447">
        <f>IF('Исходные данные'!P32="МРЗ",'Исходные данные'!BA32,IF('Исходные данные'!P32="МРП",'Исходные данные'!BA32,0))</f>
        <v>0</v>
      </c>
      <c r="V23" s="447">
        <f>'Исходные данные'!P32</f>
        <v>0</v>
      </c>
      <c r="W23" s="447">
        <f>IF(V23="МРП",'Исходные данные'!U32,IF(V23="МРЗ",'Исходные данные'!U32,0))</f>
        <v>0</v>
      </c>
      <c r="X23" s="447">
        <f>IF('Исходные данные'!S32="р",'Исходные данные'!BA32,0)</f>
        <v>0</v>
      </c>
      <c r="Y23" s="118"/>
      <c r="Z23" s="118"/>
      <c r="AA23" s="118"/>
      <c r="AB23" s="118"/>
      <c r="AC23" s="118"/>
      <c r="AD23" s="316">
        <f>IF('Исходные данные'!AQ31=1,'Исходные данные'!J31,IF('Исходные данные'!D31=2,'Исходные данные'!J31,IF('Исходные данные'!D31=3,'Исходные данные'!J31,IF('Исходные данные'!D31=3,'Исходные данные'!J31,0))))</f>
        <v>0</v>
      </c>
      <c r="AE23" s="316"/>
      <c r="AF23" s="316"/>
      <c r="AG23" s="255">
        <f>IF('Исходные данные'!K31=1,'Исходные данные'!J31+20,0)</f>
        <v>0</v>
      </c>
      <c r="AH23" s="255">
        <f>IF('Исходные данные'!K31=1,BB23,0)</f>
        <v>0</v>
      </c>
      <c r="AI23" s="149">
        <f t="shared" si="10"/>
        <v>-3</v>
      </c>
      <c r="AJ23" s="255">
        <f t="shared" si="11"/>
        <v>0</v>
      </c>
      <c r="AP23" s="500">
        <f>IF('Исходные данные'!I32=100,0,IF('Исходные данные'!I32=150,0,IF('Исходные данные'!I32=200,0,IF('Исходные данные'!I32=250,0,IF('Исходные данные'!I32=300,0,IF('Исходные данные'!I32=350,0,IF('Исходные данные'!I32=400,0,IF('Исходные данные'!I32=450,0,IF('Исходные данные'!I32=500,0,IF('Исходные данные'!I32=550,0,IF('Исходные данные'!I32=600,0,IF('Исходные данные'!I32=650,0,IF('Исходные данные'!I32=700,0,IF('Исходные данные'!I32=750,0,IF('Исходные данные'!I32=800,0,IF('Исходные данные'!I32=900,0,IF('Исходные данные'!I32=950,0,IF('Исходные данные'!I32=1000,0,IF('Исходные данные'!I32=1050,0,IF('Исходные данные'!I32=1100,0,IF('Исходные данные'!I32=1150,0,IF('Исходные данные'!I32=1200,'Исходные данные'!I32,IF('Исходные данные'!I32=1250,'Исходные данные'!I32,IF('Исходные данные'!I32=1300,0,'Исходные данные'!I32))))))))))))))))))))))))</f>
        <v>0</v>
      </c>
      <c r="BC23" s="4" t="str">
        <f>CONCATENATE('Исходные данные'!I31,"х",'Исходные данные'!J31)</f>
        <v>х</v>
      </c>
      <c r="BD23" s="10"/>
      <c r="BE23" s="515"/>
    </row>
    <row r="24" spans="1:63" ht="18.75" hidden="1" customHeight="1">
      <c r="B24" s="605"/>
      <c r="C24" s="606"/>
      <c r="D24" s="607"/>
      <c r="E24" s="116">
        <f t="shared" si="8"/>
        <v>18</v>
      </c>
      <c r="F24" s="4"/>
      <c r="G24" s="4"/>
      <c r="H24" s="4"/>
      <c r="I24" s="254">
        <f>IF(AND('Исходные данные'!K32=2,'Исходные данные'!I32&lt;150),AW24,IF(AND('Исходные данные'!K32=2,'Исходные данные'!I32&gt;150),AT24,0))</f>
        <v>0</v>
      </c>
      <c r="J24" s="154"/>
      <c r="K24" s="154"/>
      <c r="L24" s="255">
        <f>'Исходные данные'!AJ32</f>
        <v>0</v>
      </c>
      <c r="M24" s="154">
        <f>'Исходные данные'!U32</f>
        <v>0</v>
      </c>
      <c r="N24" s="155">
        <f>IF(корпус!F34&gt;1,'Исходные данные'!I32/корпус!F34-12.5*(корпус!F34-1)+22,'Исходные данные'!I32+22)</f>
        <v>22</v>
      </c>
      <c r="O24" s="156">
        <f>IF(корпус!G34&gt;1,'Исходные данные'!J32/корпус!G34-12.5*(корпус!G34-1)+22,'Исходные данные'!J32+22)</f>
        <v>22</v>
      </c>
      <c r="P24" s="156"/>
      <c r="Q24" s="255">
        <f>IF('Исходные данные'!AK32=1,"07.277.00.00.016",0)</f>
        <v>0</v>
      </c>
      <c r="R24" s="255">
        <f>IF('Исходные данные'!K32=1,'Исходные данные'!AF32*2,0)</f>
        <v>0</v>
      </c>
      <c r="S24" s="118"/>
      <c r="T24" s="118"/>
      <c r="U24" s="447">
        <f>IF('Исходные данные'!P33="МРЗ",'Исходные данные'!BA33,IF('Исходные данные'!P33="МРП",'Исходные данные'!BA33,0))</f>
        <v>0</v>
      </c>
      <c r="V24" s="447">
        <f>'Исходные данные'!P33</f>
        <v>0</v>
      </c>
      <c r="W24" s="447">
        <f>IF(V24="МРП",'Исходные данные'!U33,IF(V24="МРЗ",'Исходные данные'!U33,0))</f>
        <v>0</v>
      </c>
      <c r="X24" s="447">
        <f>IF('Исходные данные'!S33="р",'Исходные данные'!BA33,0)</f>
        <v>0</v>
      </c>
      <c r="Y24" s="118"/>
      <c r="Z24" s="118"/>
      <c r="AA24" s="118"/>
      <c r="AB24" s="118"/>
      <c r="AC24" s="118"/>
      <c r="AD24" s="316">
        <f>IF('Исходные данные'!AQ32=1,'Исходные данные'!J32,IF('Исходные данные'!D32=2,'Исходные данные'!J32,IF('Исходные данные'!D32=3,'Исходные данные'!J32,IF('Исходные данные'!D32=3,'Исходные данные'!J32,0))))</f>
        <v>0</v>
      </c>
      <c r="AE24" s="316"/>
      <c r="AF24" s="316"/>
      <c r="AG24" s="255">
        <f>IF('Исходные данные'!K32=1,'Исходные данные'!J32+20,0)</f>
        <v>0</v>
      </c>
      <c r="AH24" s="255">
        <f>IF('Исходные данные'!K32=1,BB24,0)</f>
        <v>0</v>
      </c>
      <c r="AI24" s="149">
        <f t="shared" si="10"/>
        <v>-3</v>
      </c>
      <c r="AJ24" s="255">
        <f t="shared" si="11"/>
        <v>0</v>
      </c>
      <c r="AP24" s="500">
        <f>IF('Исходные данные'!I33=100,0,IF('Исходные данные'!I33=150,0,IF('Исходные данные'!I33=200,0,IF('Исходные данные'!I33=250,0,IF('Исходные данные'!I33=300,0,IF('Исходные данные'!I33=350,0,IF('Исходные данные'!I33=400,0,IF('Исходные данные'!I33=450,0,IF('Исходные данные'!I33=500,0,IF('Исходные данные'!I33=550,0,IF('Исходные данные'!I33=600,0,IF('Исходные данные'!I33=650,0,IF('Исходные данные'!I33=700,0,IF('Исходные данные'!I33=750,0,IF('Исходные данные'!I33=800,0,IF('Исходные данные'!I33=900,0,IF('Исходные данные'!I33=950,0,IF('Исходные данные'!I33=1000,0,IF('Исходные данные'!I33=1050,0,IF('Исходные данные'!I33=1100,0,IF('Исходные данные'!I33=1150,0,IF('Исходные данные'!I33=1200,'Исходные данные'!I33,IF('Исходные данные'!I33=1250,'Исходные данные'!I33,IF('Исходные данные'!I33=1300,0,'Исходные данные'!I33))))))))))))))))))))))))</f>
        <v>0</v>
      </c>
      <c r="BC24" s="4" t="str">
        <f>CONCATENATE('Исходные данные'!I32,"х",'Исходные данные'!J32)</f>
        <v>х</v>
      </c>
      <c r="BD24" s="10"/>
      <c r="BE24" s="515"/>
    </row>
    <row r="25" spans="1:63" ht="18.75" hidden="1" customHeight="1">
      <c r="B25" s="605"/>
      <c r="C25" s="606"/>
      <c r="D25" s="607"/>
      <c r="E25" s="116">
        <f>E24+1</f>
        <v>19</v>
      </c>
      <c r="F25" s="4"/>
      <c r="G25" s="4"/>
      <c r="H25" s="4"/>
      <c r="I25" s="254">
        <f>IF(AND('Исходные данные'!K33=2,'Исходные данные'!I33&lt;150),AW25,IF(AND('Исходные данные'!K33=2,'Исходные данные'!I33&gt;150),AT25,0))</f>
        <v>0</v>
      </c>
      <c r="J25" s="154"/>
      <c r="K25" s="154"/>
      <c r="L25" s="255">
        <f>'Исходные данные'!AJ33</f>
        <v>0</v>
      </c>
      <c r="M25" s="154">
        <f>'Исходные данные'!U33</f>
        <v>0</v>
      </c>
      <c r="N25" s="155">
        <f>IF(корпус!F35&gt;1,'Исходные данные'!I33/корпус!F35-12.5*(корпус!F35-1)+22,'Исходные данные'!I33+22)</f>
        <v>22</v>
      </c>
      <c r="O25" s="156">
        <f>IF(корпус!G35&gt;1,'Исходные данные'!J33/корпус!G35-12.5*(корпус!G35-1)+22,'Исходные данные'!J33+22)</f>
        <v>22</v>
      </c>
      <c r="P25" s="156"/>
      <c r="Q25" s="255">
        <f>IF('Исходные данные'!AK33=1,"07.277.00.00.016",0)</f>
        <v>0</v>
      </c>
      <c r="R25" s="255">
        <f>IF('Исходные данные'!K33=1,'Исходные данные'!AF33*2,0)</f>
        <v>0</v>
      </c>
      <c r="S25" s="118"/>
      <c r="T25" s="118"/>
      <c r="U25" s="447">
        <f>IF('Исходные данные'!P34="МРЗ",'Исходные данные'!BA34,IF('Исходные данные'!P34="МРП",'Исходные данные'!BA34,0))</f>
        <v>0</v>
      </c>
      <c r="V25" s="447">
        <f>'Исходные данные'!P34</f>
        <v>0</v>
      </c>
      <c r="W25" s="447">
        <f>IF(V25="МРП",'Исходные данные'!U34,IF(V25="МРЗ",'Исходные данные'!U34,0))</f>
        <v>0</v>
      </c>
      <c r="X25" s="447">
        <f>IF('Исходные данные'!S34="р",'Исходные данные'!BA34,0)</f>
        <v>0</v>
      </c>
      <c r="Y25" s="118"/>
      <c r="Z25" s="118"/>
      <c r="AA25" s="118"/>
      <c r="AB25" s="118"/>
      <c r="AC25" s="118"/>
      <c r="AD25" s="316">
        <f>IF('Исходные данные'!AQ33=1,'Исходные данные'!J33,IF('Исходные данные'!D33=2,'Исходные данные'!J33,IF('Исходные данные'!D33=3,'Исходные данные'!J33,IF('Исходные данные'!D33=3,'Исходные данные'!J33,0))))</f>
        <v>0</v>
      </c>
      <c r="AE25" s="316"/>
      <c r="AF25" s="316"/>
      <c r="AG25" s="255">
        <f>IF('Исходные данные'!K33=1,'Исходные данные'!J33+20,0)</f>
        <v>0</v>
      </c>
      <c r="AH25" s="255">
        <f>IF('Исходные данные'!K33=1,BB25,0)</f>
        <v>0</v>
      </c>
      <c r="AI25" s="149">
        <f t="shared" si="10"/>
        <v>-3</v>
      </c>
      <c r="AJ25" s="255">
        <f t="shared" si="11"/>
        <v>0</v>
      </c>
      <c r="AP25" s="500">
        <f>IF('Исходные данные'!I34=100,0,IF('Исходные данные'!I34=150,0,IF('Исходные данные'!I34=200,0,IF('Исходные данные'!I34=250,0,IF('Исходные данные'!I34=300,0,IF('Исходные данные'!I34=350,0,IF('Исходные данные'!I34=400,0,IF('Исходные данные'!I34=450,0,IF('Исходные данные'!I34=500,0,IF('Исходные данные'!I34=550,0,IF('Исходные данные'!I34=600,0,IF('Исходные данные'!I34=650,0,IF('Исходные данные'!I34=700,0,IF('Исходные данные'!I34=750,0,IF('Исходные данные'!I34=800,0,IF('Исходные данные'!I34=900,0,IF('Исходные данные'!I34=950,0,IF('Исходные данные'!I34=1000,0,IF('Исходные данные'!I34=1050,0,IF('Исходные данные'!I34=1100,0,IF('Исходные данные'!I34=1150,0,IF('Исходные данные'!I34=1200,'Исходные данные'!I34,IF('Исходные данные'!I34=1250,'Исходные данные'!I34,IF('Исходные данные'!I34=1300,0,'Исходные данные'!I34))))))))))))))))))))))))</f>
        <v>0</v>
      </c>
      <c r="BC25" s="4" t="str">
        <f>CONCATENATE('Исходные данные'!I33,"х",'Исходные данные'!J33)</f>
        <v>х</v>
      </c>
      <c r="BD25" s="10"/>
      <c r="BE25" s="515"/>
    </row>
    <row r="26" spans="1:63" ht="18.75" hidden="1" customHeight="1">
      <c r="A26" s="604" t="s">
        <v>146</v>
      </c>
      <c r="B26" s="605"/>
      <c r="C26" s="606"/>
      <c r="D26" s="607"/>
      <c r="E26" s="116">
        <f>E25+1</f>
        <v>20</v>
      </c>
      <c r="F26" s="4"/>
      <c r="G26" s="4"/>
      <c r="H26" s="4"/>
      <c r="I26" s="254">
        <f>IF(AND('Исходные данные'!K34=2,'Исходные данные'!I34&lt;150),AW26,IF(AND('Исходные данные'!K34=2,'Исходные данные'!I34&gt;150),AT26,0))</f>
        <v>0</v>
      </c>
      <c r="J26" s="154"/>
      <c r="K26" s="154"/>
      <c r="L26" s="255">
        <f>'Исходные данные'!AJ34</f>
        <v>0</v>
      </c>
      <c r="M26" s="154">
        <f>'Исходные данные'!U34</f>
        <v>0</v>
      </c>
      <c r="N26" s="155">
        <f>IF(корпус!F36&gt;1,'Исходные данные'!I34/корпус!F36-12.5*(корпус!F36-1)+22,'Исходные данные'!I34+22)</f>
        <v>22</v>
      </c>
      <c r="O26" s="156">
        <f>IF(корпус!G36&gt;1,'Исходные данные'!J34/корпус!G36-12.5*(корпус!G36-1)+22,'Исходные данные'!J34+22)</f>
        <v>22</v>
      </c>
      <c r="P26" s="156"/>
      <c r="Q26" s="255">
        <f>IF('Исходные данные'!AK34=1,"07.277.00.00.016",0)</f>
        <v>0</v>
      </c>
      <c r="R26" s="255">
        <f>IF('Исходные данные'!K34=1,'Исходные данные'!AF34*2,0)</f>
        <v>0</v>
      </c>
      <c r="S26" s="118"/>
      <c r="T26" s="118"/>
      <c r="U26" s="447">
        <f>IF('Исходные данные'!P35="МРЗ",'Исходные данные'!BA35,IF('Исходные данные'!P35="МРП",'Исходные данные'!BA35,0))</f>
        <v>0</v>
      </c>
      <c r="V26" s="447">
        <f>'Исходные данные'!P35</f>
        <v>0</v>
      </c>
      <c r="W26" s="447">
        <f>IF(V26="МРП",'Исходные данные'!U35,IF(V26="МРЗ",'Исходные данные'!U35,0))</f>
        <v>0</v>
      </c>
      <c r="X26" s="447">
        <f>IF('Исходные данные'!S35="р",'Исходные данные'!BA35,0)</f>
        <v>0</v>
      </c>
      <c r="Y26" s="118"/>
      <c r="Z26" s="118"/>
      <c r="AA26" s="118"/>
      <c r="AB26" s="118"/>
      <c r="AC26" s="118"/>
      <c r="AD26" s="316">
        <f>IF('Исходные данные'!AQ34=1,'Исходные данные'!J34,IF('Исходные данные'!D34=2,'Исходные данные'!J34,IF('Исходные данные'!D34=3,'Исходные данные'!J34,IF('Исходные данные'!D34=3,'Исходные данные'!J34,0))))</f>
        <v>0</v>
      </c>
      <c r="AE26" s="316"/>
      <c r="AF26" s="316"/>
      <c r="AG26" s="255">
        <f>IF('Исходные данные'!K34=1,'Исходные данные'!J34+20,0)</f>
        <v>0</v>
      </c>
      <c r="AH26" s="255">
        <f>IF('Исходные данные'!K34=1,BB26,0)</f>
        <v>0</v>
      </c>
      <c r="AI26" s="149">
        <f t="shared" si="10"/>
        <v>-3</v>
      </c>
      <c r="AJ26" s="255">
        <f t="shared" si="11"/>
        <v>0</v>
      </c>
      <c r="AP26" s="500">
        <f>IF('Исходные данные'!I35=100,0,IF('Исходные данные'!I35=150,0,IF('Исходные данные'!I35=200,0,IF('Исходные данные'!I35=250,0,IF('Исходные данные'!I35=300,0,IF('Исходные данные'!I35=350,0,IF('Исходные данные'!I35=400,0,IF('Исходные данные'!I35=450,0,IF('Исходные данные'!I35=500,0,IF('Исходные данные'!I35=550,0,IF('Исходные данные'!I35=600,0,IF('Исходные данные'!I35=650,0,IF('Исходные данные'!I35=700,0,IF('Исходные данные'!I35=750,0,IF('Исходные данные'!I35=800,0,IF('Исходные данные'!I35=900,0,IF('Исходные данные'!I35=950,0,IF('Исходные данные'!I35=1000,0,IF('Исходные данные'!I35=1050,0,IF('Исходные данные'!I35=1100,0,IF('Исходные данные'!I35=1150,0,IF('Исходные данные'!I35=1200,'Исходные данные'!I35,IF('Исходные данные'!I35=1250,'Исходные данные'!I35,IF('Исходные данные'!I35=1300,0,'Исходные данные'!I35))))))))))))))))))))))))</f>
        <v>0</v>
      </c>
      <c r="BC26" s="4" t="str">
        <f>CONCATENATE('Исходные данные'!I34,"х",'Исходные данные'!J34)</f>
        <v>х</v>
      </c>
      <c r="BD26" s="10"/>
      <c r="BE26" s="515"/>
    </row>
    <row r="27" spans="1:63" ht="19.5" hidden="1" customHeight="1" thickBot="1">
      <c r="A27" s="604"/>
      <c r="B27" s="605"/>
      <c r="C27" s="606"/>
      <c r="D27" s="607"/>
      <c r="E27" s="125">
        <f>E26+1</f>
        <v>21</v>
      </c>
      <c r="F27" s="126"/>
      <c r="G27" s="126"/>
      <c r="H27" s="126"/>
      <c r="I27" s="254">
        <f>IF(AND('Исходные данные'!K35=2,'Исходные данные'!I35&lt;150),AW27,IF(AND('Исходные данные'!K35=2,'Исходные данные'!I35&gt;150),AT27,0))</f>
        <v>0</v>
      </c>
      <c r="J27" s="154"/>
      <c r="K27" s="154"/>
      <c r="L27" s="255">
        <f>'Исходные данные'!AJ35</f>
        <v>0</v>
      </c>
      <c r="M27" s="154">
        <f>'Исходные данные'!U35</f>
        <v>0</v>
      </c>
      <c r="N27" s="155">
        <f>IF(корпус!F37&gt;1,'Исходные данные'!I35/корпус!F37-12.5*(корпус!F37-1)+22,'Исходные данные'!I35+22)</f>
        <v>22</v>
      </c>
      <c r="O27" s="156">
        <f>IF(корпус!G37&gt;1,'Исходные данные'!J35/корпус!G37-12.5*(корпус!G37-1)+22,'Исходные данные'!J35+22)</f>
        <v>22</v>
      </c>
      <c r="P27" s="156"/>
      <c r="Q27" s="255">
        <f>IF('Исходные данные'!AK35=1,"07.277.00.00.016",0)</f>
        <v>0</v>
      </c>
      <c r="R27" s="255">
        <f>IF('Исходные данные'!K35=1,'Исходные данные'!AF35*2,0)</f>
        <v>0</v>
      </c>
      <c r="S27" s="118"/>
      <c r="T27" s="128"/>
      <c r="U27" s="447">
        <f>IF('Исходные данные'!P36="МРЗ",'Исходные данные'!BA36,IF('Исходные данные'!P36="МРП",'Исходные данные'!BA36,0))</f>
        <v>0</v>
      </c>
      <c r="V27" s="447">
        <f>'Исходные данные'!P36</f>
        <v>0</v>
      </c>
      <c r="W27" s="447">
        <f>IF(V27="МРП",'Исходные данные'!U36,IF(V27="МРЗ",'Исходные данные'!U36,0))</f>
        <v>0</v>
      </c>
      <c r="X27" s="447">
        <f>IF('Исходные данные'!S36="р",'Исходные данные'!BA36,0)</f>
        <v>0</v>
      </c>
      <c r="Y27" s="128"/>
      <c r="Z27" s="128"/>
      <c r="AA27" s="128"/>
      <c r="AB27" s="128"/>
      <c r="AC27" s="128"/>
      <c r="AD27" s="316">
        <f>IF('Исходные данные'!AQ35=1,'Исходные данные'!J35,IF('Исходные данные'!D35=2,'Исходные данные'!J35,IF('Исходные данные'!D35=3,'Исходные данные'!J35,IF('Исходные данные'!D35=3,'Исходные данные'!J35,0))))</f>
        <v>0</v>
      </c>
      <c r="AE27" s="333"/>
      <c r="AF27" s="333"/>
      <c r="AG27" s="255">
        <f>IF('Исходные данные'!K35=1,'Исходные данные'!J35+20,0)</f>
        <v>0</v>
      </c>
      <c r="AH27" s="255">
        <f>IF('Исходные данные'!K35=1,BB27,0)</f>
        <v>0</v>
      </c>
      <c r="AI27" s="149">
        <f t="shared" si="10"/>
        <v>-3</v>
      </c>
      <c r="AJ27" s="255">
        <f t="shared" si="11"/>
        <v>0</v>
      </c>
      <c r="AP27" s="500" t="str">
        <f>IF('Исходные данные'!I36=100,0,IF('Исходные данные'!I36=150,0,IF('Исходные данные'!I36=200,0,IF('Исходные данные'!I36=250,0,IF('Исходные данные'!I36=300,0,IF('Исходные данные'!I36=350,0,IF('Исходные данные'!I36=400,0,IF('Исходные данные'!I36=450,0,IF('Исходные данные'!I36=500,0,IF('Исходные данные'!I36=550,0,IF('Исходные данные'!I36=600,0,IF('Исходные данные'!I36=650,0,IF('Исходные данные'!I36=700,0,IF('Исходные данные'!I36=750,0,IF('Исходные данные'!I36=800,0,IF('Исходные данные'!I36=900,0,IF('Исходные данные'!I36=950,0,IF('Исходные данные'!I36=1000,0,IF('Исходные данные'!I36=1050,0,IF('Исходные данные'!I36=1100,0,IF('Исходные данные'!I36=1150,0,IF('Исходные данные'!I36=1200,'Исходные данные'!I36,IF('Исходные данные'!I36=1250,'Исходные данные'!I36,IF('Исходные данные'!I36=1300,0,'Исходные данные'!I36))))))))))))))))))))))))</f>
        <v>Вырубка</v>
      </c>
      <c r="BC27" s="4" t="str">
        <f>CONCATENATE('Исходные данные'!I35,"х",'Исходные данные'!J35)</f>
        <v>х</v>
      </c>
      <c r="BD27" s="10"/>
      <c r="BE27" s="515"/>
    </row>
    <row r="28" spans="1:63" ht="19.5" thickBot="1">
      <c r="A28" s="604"/>
      <c r="B28" s="605"/>
      <c r="C28" s="606"/>
      <c r="D28" s="607"/>
      <c r="AH28" s="131"/>
      <c r="AI28" s="131"/>
      <c r="AJ28" s="131"/>
    </row>
    <row r="29" spans="1:63" ht="27" thickBot="1">
      <c r="A29" s="604"/>
      <c r="B29" s="605"/>
      <c r="C29" s="606"/>
      <c r="D29" s="607"/>
      <c r="E29" s="608" t="s">
        <v>160</v>
      </c>
      <c r="F29" s="608"/>
      <c r="G29" s="608"/>
      <c r="H29" s="608"/>
      <c r="I29" s="608"/>
      <c r="J29" s="608"/>
      <c r="K29" s="608"/>
      <c r="L29" s="608"/>
      <c r="M29" s="608"/>
      <c r="N29" s="608"/>
      <c r="O29" s="608"/>
      <c r="P29" s="608"/>
      <c r="Q29" s="608"/>
      <c r="R29" s="608"/>
      <c r="S29" s="608"/>
      <c r="T29" s="608"/>
      <c r="U29" s="608"/>
      <c r="V29" s="608"/>
      <c r="W29" s="609" t="s">
        <v>161</v>
      </c>
      <c r="X29" s="609"/>
      <c r="Y29" s="608" t="s">
        <v>162</v>
      </c>
      <c r="Z29" s="608"/>
      <c r="AA29" s="608" t="s">
        <v>153</v>
      </c>
      <c r="AB29" s="608"/>
      <c r="AC29" s="608"/>
      <c r="AD29" s="608" t="s">
        <v>328</v>
      </c>
      <c r="AE29" s="608"/>
      <c r="AF29" s="409"/>
      <c r="AG29" s="627"/>
      <c r="AH29" s="627"/>
      <c r="AI29" s="626"/>
      <c r="AJ29" s="626"/>
    </row>
    <row r="30" spans="1:63" ht="26.25">
      <c r="A30" s="604"/>
      <c r="B30" s="605"/>
      <c r="C30" s="606"/>
      <c r="D30" s="607"/>
      <c r="E30" s="634"/>
      <c r="F30" s="635"/>
      <c r="G30" s="635"/>
      <c r="H30" s="635"/>
      <c r="I30" s="635"/>
      <c r="J30" s="635"/>
      <c r="K30" s="635"/>
      <c r="L30" s="635"/>
      <c r="M30" s="635"/>
      <c r="N30" s="635"/>
      <c r="O30" s="635"/>
      <c r="P30" s="635"/>
      <c r="Q30" s="635"/>
      <c r="R30" s="635"/>
      <c r="S30" s="635"/>
      <c r="T30" s="635"/>
      <c r="U30" s="635"/>
      <c r="V30" s="635"/>
      <c r="W30" s="630"/>
      <c r="X30" s="630"/>
      <c r="Y30" s="631"/>
      <c r="Z30" s="631"/>
      <c r="AA30" s="632"/>
      <c r="AB30" s="632"/>
      <c r="AC30" s="633"/>
      <c r="AD30" s="452"/>
      <c r="AE30" s="453"/>
      <c r="AF30" s="411"/>
      <c r="AG30" s="624"/>
      <c r="AH30" s="624"/>
      <c r="AI30" s="624"/>
      <c r="AJ30" s="624"/>
    </row>
    <row r="31" spans="1:63" ht="28.5">
      <c r="A31" s="604"/>
      <c r="B31" s="605"/>
      <c r="C31" s="606"/>
      <c r="D31" s="607"/>
      <c r="E31" s="628"/>
      <c r="F31" s="629"/>
      <c r="G31" s="629"/>
      <c r="H31" s="629"/>
      <c r="I31" s="629"/>
      <c r="J31" s="629"/>
      <c r="K31" s="629"/>
      <c r="L31" s="629"/>
      <c r="M31" s="629"/>
      <c r="N31" s="629"/>
      <c r="O31" s="629"/>
      <c r="P31" s="629"/>
      <c r="Q31" s="629"/>
      <c r="R31" s="629"/>
      <c r="S31" s="629"/>
      <c r="T31" s="629"/>
      <c r="U31" s="629"/>
      <c r="V31" s="629"/>
      <c r="W31" s="630"/>
      <c r="X31" s="630"/>
      <c r="Y31" s="631"/>
      <c r="Z31" s="631"/>
      <c r="AA31" s="632"/>
      <c r="AB31" s="632"/>
      <c r="AC31" s="633"/>
      <c r="AD31" s="452"/>
      <c r="AE31" s="453"/>
      <c r="AF31" s="410"/>
      <c r="AG31" s="624"/>
      <c r="AH31" s="624"/>
      <c r="AI31" s="624"/>
      <c r="AJ31" s="624"/>
    </row>
    <row r="32" spans="1:63" ht="28.5">
      <c r="A32" s="604"/>
      <c r="B32" s="605"/>
      <c r="C32" s="606"/>
      <c r="D32" s="607"/>
      <c r="E32" s="634"/>
      <c r="F32" s="635"/>
      <c r="G32" s="635"/>
      <c r="H32" s="635"/>
      <c r="I32" s="635"/>
      <c r="J32" s="635"/>
      <c r="K32" s="635"/>
      <c r="L32" s="635"/>
      <c r="M32" s="635"/>
      <c r="N32" s="635"/>
      <c r="O32" s="635"/>
      <c r="P32" s="635"/>
      <c r="Q32" s="635"/>
      <c r="R32" s="635"/>
      <c r="S32" s="635"/>
      <c r="T32" s="635"/>
      <c r="U32" s="635"/>
      <c r="V32" s="635"/>
      <c r="W32" s="630"/>
      <c r="X32" s="630"/>
      <c r="Y32" s="636"/>
      <c r="Z32" s="633"/>
      <c r="AA32" s="632"/>
      <c r="AB32" s="632"/>
      <c r="AC32" s="633"/>
      <c r="AD32" s="452"/>
      <c r="AE32" s="453"/>
      <c r="AF32" s="410"/>
      <c r="AG32" s="624"/>
      <c r="AH32" s="624"/>
      <c r="AI32" s="624"/>
      <c r="AJ32" s="624"/>
    </row>
    <row r="33" spans="1:36" ht="28.5">
      <c r="A33" s="604"/>
      <c r="B33" s="605"/>
      <c r="C33" s="606"/>
      <c r="D33" s="607"/>
      <c r="E33" s="628"/>
      <c r="F33" s="629"/>
      <c r="G33" s="629"/>
      <c r="H33" s="629"/>
      <c r="I33" s="629"/>
      <c r="J33" s="629"/>
      <c r="K33" s="629"/>
      <c r="L33" s="629"/>
      <c r="M33" s="629"/>
      <c r="N33" s="629"/>
      <c r="O33" s="629"/>
      <c r="P33" s="629"/>
      <c r="Q33" s="629"/>
      <c r="R33" s="629"/>
      <c r="S33" s="629"/>
      <c r="T33" s="629"/>
      <c r="U33" s="629"/>
      <c r="V33" s="629"/>
      <c r="W33" s="630"/>
      <c r="X33" s="630"/>
      <c r="Y33" s="636"/>
      <c r="Z33" s="633"/>
      <c r="AA33" s="632"/>
      <c r="AB33" s="632"/>
      <c r="AC33" s="633"/>
      <c r="AD33" s="452"/>
      <c r="AE33" s="453"/>
      <c r="AF33" s="410"/>
      <c r="AG33" s="624"/>
      <c r="AH33" s="624"/>
      <c r="AI33" s="624"/>
      <c r="AJ33" s="624"/>
    </row>
    <row r="34" spans="1:36" ht="28.5">
      <c r="A34" s="604"/>
      <c r="B34" s="605"/>
      <c r="C34" s="606"/>
      <c r="D34" s="607"/>
      <c r="E34" s="637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9"/>
      <c r="X34" s="639"/>
      <c r="Y34" s="625"/>
      <c r="Z34" s="625"/>
      <c r="AA34" s="640"/>
      <c r="AB34" s="640"/>
      <c r="AC34" s="641"/>
      <c r="AD34" s="454"/>
      <c r="AE34" s="455"/>
      <c r="AF34" s="410"/>
      <c r="AG34" s="624"/>
      <c r="AH34" s="624"/>
      <c r="AI34" s="624"/>
      <c r="AJ34" s="624"/>
    </row>
    <row r="35" spans="1:36" ht="28.5">
      <c r="A35" s="604"/>
      <c r="B35" s="605"/>
      <c r="C35" s="606"/>
      <c r="D35" s="607"/>
      <c r="E35" s="642"/>
      <c r="F35" s="643"/>
      <c r="G35" s="643"/>
      <c r="H35" s="643"/>
      <c r="I35" s="643"/>
      <c r="J35" s="643"/>
      <c r="K35" s="643"/>
      <c r="L35" s="643"/>
      <c r="M35" s="643"/>
      <c r="N35" s="643"/>
      <c r="O35" s="643"/>
      <c r="P35" s="643"/>
      <c r="Q35" s="643"/>
      <c r="R35" s="643"/>
      <c r="S35" s="643"/>
      <c r="T35" s="643"/>
      <c r="U35" s="643"/>
      <c r="V35" s="643"/>
      <c r="W35" s="639"/>
      <c r="X35" s="639"/>
      <c r="Y35" s="625"/>
      <c r="Z35" s="625"/>
      <c r="AA35" s="640"/>
      <c r="AB35" s="640"/>
      <c r="AC35" s="641"/>
      <c r="AD35" s="454"/>
      <c r="AE35" s="455"/>
      <c r="AF35" s="410"/>
      <c r="AG35" s="624"/>
      <c r="AH35" s="624"/>
      <c r="AI35" s="624"/>
      <c r="AJ35" s="624"/>
    </row>
    <row r="36" spans="1:36" ht="28.5">
      <c r="A36" s="604"/>
      <c r="B36" s="605"/>
      <c r="C36" s="606"/>
      <c r="D36" s="607"/>
      <c r="E36" s="642"/>
      <c r="F36" s="643"/>
      <c r="G36" s="643"/>
      <c r="H36" s="643"/>
      <c r="I36" s="643"/>
      <c r="J36" s="643"/>
      <c r="K36" s="643"/>
      <c r="L36" s="643"/>
      <c r="M36" s="643"/>
      <c r="N36" s="643"/>
      <c r="O36" s="643"/>
      <c r="P36" s="643"/>
      <c r="Q36" s="643"/>
      <c r="R36" s="643"/>
      <c r="S36" s="643"/>
      <c r="T36" s="643"/>
      <c r="U36" s="643"/>
      <c r="V36" s="643"/>
      <c r="W36" s="639"/>
      <c r="X36" s="639"/>
      <c r="Y36" s="625"/>
      <c r="Z36" s="625"/>
      <c r="AA36" s="640"/>
      <c r="AB36" s="640"/>
      <c r="AC36" s="641"/>
      <c r="AD36" s="454"/>
      <c r="AE36" s="455"/>
      <c r="AF36" s="410"/>
      <c r="AG36" s="624"/>
      <c r="AH36" s="624"/>
      <c r="AI36" s="624"/>
      <c r="AJ36" s="624"/>
    </row>
    <row r="37" spans="1:36" ht="28.5">
      <c r="A37" s="604"/>
      <c r="B37" s="605"/>
      <c r="C37" s="606"/>
      <c r="D37" s="607"/>
      <c r="E37" s="637"/>
      <c r="F37" s="638"/>
      <c r="G37" s="638"/>
      <c r="H37" s="638"/>
      <c r="I37" s="638"/>
      <c r="J37" s="638"/>
      <c r="K37" s="638"/>
      <c r="L37" s="638"/>
      <c r="M37" s="638"/>
      <c r="N37" s="638"/>
      <c r="O37" s="638"/>
      <c r="P37" s="638"/>
      <c r="Q37" s="638"/>
      <c r="R37" s="638"/>
      <c r="S37" s="638"/>
      <c r="T37" s="638"/>
      <c r="U37" s="638"/>
      <c r="V37" s="638"/>
      <c r="W37" s="630"/>
      <c r="X37" s="630"/>
      <c r="Y37" s="636"/>
      <c r="Z37" s="633"/>
      <c r="AA37" s="632"/>
      <c r="AB37" s="632"/>
      <c r="AC37" s="633"/>
      <c r="AD37" s="452"/>
      <c r="AE37" s="453"/>
      <c r="AF37" s="410"/>
      <c r="AG37" s="624"/>
      <c r="AH37" s="624"/>
      <c r="AI37" s="624"/>
      <c r="AJ37" s="624"/>
    </row>
    <row r="38" spans="1:36" ht="28.5">
      <c r="E38" s="637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9"/>
      <c r="X38" s="639"/>
      <c r="Y38" s="625"/>
      <c r="Z38" s="625"/>
      <c r="AA38" s="640"/>
      <c r="AB38" s="640"/>
      <c r="AC38" s="641"/>
      <c r="AD38" s="454"/>
      <c r="AE38" s="455"/>
      <c r="AF38" s="410"/>
      <c r="AG38" s="624"/>
      <c r="AH38" s="624"/>
      <c r="AI38" s="624"/>
      <c r="AJ38" s="624"/>
    </row>
    <row r="39" spans="1:36" ht="28.5">
      <c r="E39" s="642"/>
      <c r="F39" s="643"/>
      <c r="G39" s="643"/>
      <c r="H39" s="643"/>
      <c r="I39" s="643"/>
      <c r="J39" s="643"/>
      <c r="K39" s="643"/>
      <c r="L39" s="643"/>
      <c r="M39" s="643"/>
      <c r="N39" s="643"/>
      <c r="O39" s="643"/>
      <c r="P39" s="643"/>
      <c r="Q39" s="643"/>
      <c r="R39" s="643"/>
      <c r="S39" s="643"/>
      <c r="T39" s="643"/>
      <c r="U39" s="643"/>
      <c r="V39" s="643"/>
      <c r="W39" s="639"/>
      <c r="X39" s="639"/>
      <c r="Y39" s="625"/>
      <c r="Z39" s="625"/>
      <c r="AA39" s="640"/>
      <c r="AB39" s="640"/>
      <c r="AC39" s="641"/>
      <c r="AD39" s="454"/>
      <c r="AE39" s="455"/>
      <c r="AF39" s="410"/>
      <c r="AG39" s="624"/>
      <c r="AH39" s="624"/>
      <c r="AI39" s="624"/>
      <c r="AJ39" s="624"/>
    </row>
    <row r="40" spans="1:36" ht="26.25">
      <c r="E40" s="642"/>
      <c r="F40" s="643"/>
      <c r="G40" s="643"/>
      <c r="H40" s="643"/>
      <c r="I40" s="643"/>
      <c r="J40" s="643"/>
      <c r="K40" s="643"/>
      <c r="L40" s="643"/>
      <c r="M40" s="643"/>
      <c r="N40" s="643"/>
      <c r="O40" s="643"/>
      <c r="P40" s="643"/>
      <c r="Q40" s="643"/>
      <c r="R40" s="643"/>
      <c r="S40" s="643"/>
      <c r="T40" s="643"/>
      <c r="U40" s="643"/>
      <c r="V40" s="643"/>
      <c r="W40" s="639"/>
      <c r="X40" s="639"/>
      <c r="Y40" s="625"/>
      <c r="Z40" s="625"/>
      <c r="AA40" s="640"/>
      <c r="AB40" s="640"/>
      <c r="AC40" s="641"/>
      <c r="AD40" s="454"/>
      <c r="AE40" s="455"/>
      <c r="AF40" s="409"/>
      <c r="AG40" s="626"/>
      <c r="AH40" s="626"/>
      <c r="AI40" s="409"/>
      <c r="AJ40" s="409"/>
    </row>
    <row r="41" spans="1:36" ht="26.25">
      <c r="E41" s="642"/>
      <c r="F41" s="643"/>
      <c r="G41" s="643"/>
      <c r="H41" s="643"/>
      <c r="I41" s="643"/>
      <c r="J41" s="643"/>
      <c r="K41" s="643"/>
      <c r="L41" s="643"/>
      <c r="M41" s="643"/>
      <c r="N41" s="643"/>
      <c r="O41" s="643"/>
      <c r="P41" s="643"/>
      <c r="Q41" s="643"/>
      <c r="R41" s="643"/>
      <c r="S41" s="643"/>
      <c r="T41" s="643"/>
      <c r="U41" s="643"/>
      <c r="V41" s="643"/>
      <c r="W41" s="639"/>
      <c r="X41" s="639"/>
      <c r="Y41" s="625"/>
      <c r="Z41" s="625"/>
      <c r="AA41" s="640"/>
      <c r="AB41" s="640"/>
      <c r="AC41" s="641"/>
      <c r="AD41" s="454"/>
      <c r="AE41" s="455"/>
      <c r="AF41" s="385"/>
      <c r="AG41" s="132"/>
      <c r="AH41" s="132"/>
      <c r="AI41" s="132"/>
      <c r="AJ41" s="132"/>
    </row>
    <row r="42" spans="1:36" ht="36">
      <c r="D42" s="135"/>
      <c r="E42" s="637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38"/>
      <c r="R42" s="638"/>
      <c r="S42" s="638"/>
      <c r="T42" s="638"/>
      <c r="U42" s="638"/>
      <c r="V42" s="638"/>
      <c r="W42" s="630"/>
      <c r="X42" s="630"/>
      <c r="Y42" s="636"/>
      <c r="Z42" s="633"/>
      <c r="AA42" s="632"/>
      <c r="AB42" s="632"/>
      <c r="AC42" s="633"/>
      <c r="AD42" s="452"/>
      <c r="AE42" s="453"/>
      <c r="AF42" s="10"/>
      <c r="AG42" s="10"/>
      <c r="AH42" s="10"/>
      <c r="AI42" s="10"/>
      <c r="AJ42" s="10"/>
    </row>
    <row r="43" spans="1:36" ht="26.25">
      <c r="C43" s="138"/>
      <c r="D43" s="138"/>
      <c r="E43" s="637"/>
      <c r="F43" s="638"/>
      <c r="G43" s="638"/>
      <c r="H43" s="638"/>
      <c r="I43" s="638"/>
      <c r="J43" s="638"/>
      <c r="K43" s="638"/>
      <c r="L43" s="638"/>
      <c r="M43" s="638"/>
      <c r="N43" s="638"/>
      <c r="O43" s="638"/>
      <c r="P43" s="638"/>
      <c r="Q43" s="638"/>
      <c r="R43" s="638"/>
      <c r="S43" s="638"/>
      <c r="T43" s="638"/>
      <c r="U43" s="638"/>
      <c r="V43" s="638"/>
      <c r="W43" s="630"/>
      <c r="X43" s="630"/>
      <c r="Y43" s="636"/>
      <c r="Z43" s="633"/>
      <c r="AA43" s="632"/>
      <c r="AB43" s="632"/>
      <c r="AC43" s="633"/>
      <c r="AD43" s="452"/>
      <c r="AE43" s="453"/>
      <c r="AF43" s="139"/>
      <c r="AG43" s="139"/>
      <c r="AH43" s="139"/>
      <c r="AI43" s="139"/>
      <c r="AJ43" s="138"/>
    </row>
    <row r="44" spans="1:36" ht="27" thickBot="1">
      <c r="C44" s="138"/>
      <c r="D44" s="138"/>
      <c r="E44" s="649"/>
      <c r="F44" s="650"/>
      <c r="G44" s="650"/>
      <c r="H44" s="650"/>
      <c r="I44" s="650"/>
      <c r="J44" s="650"/>
      <c r="K44" s="650"/>
      <c r="L44" s="650"/>
      <c r="M44" s="650"/>
      <c r="N44" s="650"/>
      <c r="O44" s="650"/>
      <c r="P44" s="650"/>
      <c r="Q44" s="650"/>
      <c r="R44" s="650"/>
      <c r="S44" s="650"/>
      <c r="T44" s="650"/>
      <c r="U44" s="650"/>
      <c r="V44" s="650"/>
      <c r="W44" s="651"/>
      <c r="X44" s="651"/>
      <c r="Y44" s="652"/>
      <c r="Z44" s="653"/>
      <c r="AA44" s="654"/>
      <c r="AB44" s="654"/>
      <c r="AC44" s="653"/>
      <c r="AD44" s="456"/>
      <c r="AE44" s="457"/>
      <c r="AF44" s="139"/>
      <c r="AG44" s="139"/>
      <c r="AH44" s="139"/>
      <c r="AI44" s="139"/>
      <c r="AJ44" s="138"/>
    </row>
    <row r="45" spans="1:36" ht="27" thickBot="1">
      <c r="C45" s="138"/>
      <c r="Q45" s="644"/>
      <c r="R45" s="644"/>
      <c r="S45" s="644"/>
      <c r="T45" s="645" t="s">
        <v>163</v>
      </c>
      <c r="U45" s="646"/>
      <c r="V45" s="646"/>
      <c r="W45" s="647">
        <f>SUM(W30:X44)</f>
        <v>0</v>
      </c>
      <c r="X45" s="648"/>
      <c r="Y45" s="458"/>
      <c r="Z45" s="458"/>
      <c r="AA45" s="459"/>
      <c r="AB45" s="459"/>
      <c r="AC45" s="459"/>
      <c r="AD45" s="459"/>
      <c r="AE45" s="459"/>
      <c r="AF45" s="138"/>
      <c r="AG45" s="138"/>
      <c r="AH45" s="138"/>
      <c r="AI45" s="138"/>
      <c r="AJ45" s="138"/>
    </row>
    <row r="46" spans="1:36" ht="22.5">
      <c r="C46" s="138"/>
      <c r="Q46" s="140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</row>
    <row r="48" spans="1:36" ht="22.5">
      <c r="F48" s="138" t="s">
        <v>164</v>
      </c>
    </row>
    <row r="49" spans="6:18" ht="22.5"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40" t="s">
        <v>166</v>
      </c>
      <c r="Q49" s="140"/>
      <c r="R49" s="140"/>
    </row>
  </sheetData>
  <mergeCells count="139">
    <mergeCell ref="Q45:S45"/>
    <mergeCell ref="T45:V45"/>
    <mergeCell ref="W45:X45"/>
    <mergeCell ref="E43:V43"/>
    <mergeCell ref="W43:X43"/>
    <mergeCell ref="Y43:Z43"/>
    <mergeCell ref="AA43:AC43"/>
    <mergeCell ref="E44:V44"/>
    <mergeCell ref="W44:X44"/>
    <mergeCell ref="Y44:Z44"/>
    <mergeCell ref="AA44:AC44"/>
    <mergeCell ref="E41:V41"/>
    <mergeCell ref="W41:X41"/>
    <mergeCell ref="Y41:Z41"/>
    <mergeCell ref="AA41:AC41"/>
    <mergeCell ref="E42:V42"/>
    <mergeCell ref="W42:X42"/>
    <mergeCell ref="Y42:Z42"/>
    <mergeCell ref="AA42:AC42"/>
    <mergeCell ref="E39:V39"/>
    <mergeCell ref="W39:X39"/>
    <mergeCell ref="Y39:Z39"/>
    <mergeCell ref="AA39:AC39"/>
    <mergeCell ref="E40:V40"/>
    <mergeCell ref="W40:X40"/>
    <mergeCell ref="Y40:Z40"/>
    <mergeCell ref="AA40:AC40"/>
    <mergeCell ref="E37:V37"/>
    <mergeCell ref="W37:X37"/>
    <mergeCell ref="Y37:Z37"/>
    <mergeCell ref="AA37:AC37"/>
    <mergeCell ref="E38:V38"/>
    <mergeCell ref="W38:X38"/>
    <mergeCell ref="Y38:Z38"/>
    <mergeCell ref="AA38:AC38"/>
    <mergeCell ref="E33:V33"/>
    <mergeCell ref="W33:X33"/>
    <mergeCell ref="Y33:Z33"/>
    <mergeCell ref="AA33:AC33"/>
    <mergeCell ref="E34:V34"/>
    <mergeCell ref="W34:X34"/>
    <mergeCell ref="Y34:Z34"/>
    <mergeCell ref="AA34:AC34"/>
    <mergeCell ref="E35:V35"/>
    <mergeCell ref="W35:X35"/>
    <mergeCell ref="AA35:AC35"/>
    <mergeCell ref="E36:V36"/>
    <mergeCell ref="W36:X36"/>
    <mergeCell ref="Y36:Z36"/>
    <mergeCell ref="AA36:AC36"/>
    <mergeCell ref="E31:V31"/>
    <mergeCell ref="W31:X31"/>
    <mergeCell ref="Y31:Z31"/>
    <mergeCell ref="AA31:AC31"/>
    <mergeCell ref="E32:V32"/>
    <mergeCell ref="W32:X32"/>
    <mergeCell ref="Y32:Z32"/>
    <mergeCell ref="AA32:AC32"/>
    <mergeCell ref="AA29:AC29"/>
    <mergeCell ref="E30:V30"/>
    <mergeCell ref="W30:X30"/>
    <mergeCell ref="Y30:Z30"/>
    <mergeCell ref="AA30:AC30"/>
    <mergeCell ref="AG30:AH30"/>
    <mergeCell ref="AI30:AJ30"/>
    <mergeCell ref="AG29:AH29"/>
    <mergeCell ref="AI29:AJ29"/>
    <mergeCell ref="AM5:AM6"/>
    <mergeCell ref="AK5:AL5"/>
    <mergeCell ref="Y5:Y6"/>
    <mergeCell ref="Z5:Z6"/>
    <mergeCell ref="AA5:AA6"/>
    <mergeCell ref="AD29:AE29"/>
    <mergeCell ref="AG40:AH40"/>
    <mergeCell ref="AG37:AH37"/>
    <mergeCell ref="AI37:AJ37"/>
    <mergeCell ref="AG38:AH38"/>
    <mergeCell ref="AI38:AJ38"/>
    <mergeCell ref="AG39:AH39"/>
    <mergeCell ref="AI39:AJ39"/>
    <mergeCell ref="AI33:AJ33"/>
    <mergeCell ref="AG34:AH34"/>
    <mergeCell ref="AI34:AJ34"/>
    <mergeCell ref="AG33:AH33"/>
    <mergeCell ref="AI31:AJ31"/>
    <mergeCell ref="AG32:AH32"/>
    <mergeCell ref="AI32:AJ32"/>
    <mergeCell ref="AG31:AH31"/>
    <mergeCell ref="AG35:AH35"/>
    <mergeCell ref="AI35:AJ35"/>
    <mergeCell ref="AG36:AH36"/>
    <mergeCell ref="AI36:AJ36"/>
    <mergeCell ref="Y35:Z35"/>
    <mergeCell ref="A26:A37"/>
    <mergeCell ref="B9:B37"/>
    <mergeCell ref="C17:C37"/>
    <mergeCell ref="D17:D37"/>
    <mergeCell ref="E29:V29"/>
    <mergeCell ref="W29:X29"/>
    <mergeCell ref="Y29:Z29"/>
    <mergeCell ref="BC5:BC6"/>
    <mergeCell ref="B3:C8"/>
    <mergeCell ref="F4:AJ4"/>
    <mergeCell ref="AG5:AH5"/>
    <mergeCell ref="AI5:AJ5"/>
    <mergeCell ref="E5:E6"/>
    <mergeCell ref="F5:F6"/>
    <mergeCell ref="G5:G6"/>
    <mergeCell ref="M5:M6"/>
    <mergeCell ref="N5:P5"/>
    <mergeCell ref="I5:L5"/>
    <mergeCell ref="Q5:Q6"/>
    <mergeCell ref="AB5:AE5"/>
    <mergeCell ref="V5:V6"/>
    <mergeCell ref="W5:W6"/>
    <mergeCell ref="X5:X6"/>
    <mergeCell ref="AF5:AF6"/>
    <mergeCell ref="U5:U6"/>
    <mergeCell ref="BI5:BI6"/>
    <mergeCell ref="BE5:BE6"/>
    <mergeCell ref="BF5:BF6"/>
    <mergeCell ref="BG5:BG6"/>
    <mergeCell ref="AP3:AW3"/>
    <mergeCell ref="AX3:AZ4"/>
    <mergeCell ref="AW5:AW6"/>
    <mergeCell ref="AT5:AT6"/>
    <mergeCell ref="AX5:AY5"/>
    <mergeCell ref="AZ5:AZ6"/>
    <mergeCell ref="AU5:AU6"/>
    <mergeCell ref="AV5:AV6"/>
    <mergeCell ref="AU4:AV4"/>
    <mergeCell ref="AP4:AT4"/>
    <mergeCell ref="AP5:AQ5"/>
    <mergeCell ref="AR5:AS5"/>
    <mergeCell ref="BB5:BB6"/>
    <mergeCell ref="BA5:BA6"/>
    <mergeCell ref="AN5:AN6"/>
    <mergeCell ref="BH5:BH6"/>
    <mergeCell ref="BD5:BD6"/>
  </mergeCells>
  <printOptions verticalCentered="1"/>
  <pageMargins left="0" right="0" top="0" bottom="0" header="0" footer="0"/>
  <pageSetup paperSize="9" scale="3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C52"/>
  <sheetViews>
    <sheetView view="pageBreakPreview" zoomScale="42" zoomScaleNormal="55" zoomScaleSheetLayoutView="42" zoomScalePageLayoutView="50" workbookViewId="0">
      <selection activeCell="DB18" sqref="DB18"/>
    </sheetView>
  </sheetViews>
  <sheetFormatPr defaultRowHeight="15"/>
  <cols>
    <col min="5" max="5" width="3.42578125" customWidth="1"/>
    <col min="7" max="7" width="28.85546875" customWidth="1"/>
    <col min="8" max="10" width="9.140625" hidden="1" customWidth="1"/>
    <col min="11" max="11" width="24.28515625" customWidth="1"/>
    <col min="12" max="12" width="27.28515625" customWidth="1"/>
    <col min="13" max="14" width="0" hidden="1" customWidth="1"/>
    <col min="15" max="15" width="14" customWidth="1"/>
    <col min="16" max="16" width="13.85546875" customWidth="1"/>
    <col min="17" max="17" width="11.5703125" customWidth="1"/>
    <col min="18" max="18" width="15.5703125" customWidth="1"/>
    <col min="19" max="19" width="0" hidden="1" customWidth="1"/>
    <col min="20" max="20" width="9.140625" hidden="1" customWidth="1"/>
    <col min="21" max="21" width="17.28515625" customWidth="1"/>
    <col min="22" max="23" width="9.140625" customWidth="1"/>
    <col min="24" max="24" width="16.85546875" customWidth="1"/>
    <col min="25" max="29" width="9.140625" customWidth="1"/>
    <col min="30" max="30" width="28.140625" customWidth="1"/>
    <col min="31" max="31" width="24.85546875" customWidth="1"/>
    <col min="32" max="32" width="11.5703125" customWidth="1"/>
    <col min="34" max="34" width="15.42578125" customWidth="1"/>
    <col min="36" max="36" width="9.5703125" customWidth="1"/>
    <col min="38" max="38" width="6.28515625" customWidth="1"/>
    <col min="39" max="102" width="0" hidden="1" customWidth="1"/>
  </cols>
  <sheetData>
    <row r="1" spans="2:55">
      <c r="E1" t="s">
        <v>49</v>
      </c>
    </row>
    <row r="2" spans="2:55" ht="46.5">
      <c r="E2" s="33" t="s">
        <v>174</v>
      </c>
      <c r="F2" s="107"/>
      <c r="G2" s="108"/>
      <c r="H2" s="108"/>
      <c r="I2" s="108"/>
      <c r="J2" s="108"/>
      <c r="K2" s="109"/>
      <c r="O2" s="19"/>
      <c r="AE2" s="181">
        <f>B3</f>
        <v>4444</v>
      </c>
      <c r="AF2" s="109"/>
      <c r="AG2" s="109"/>
      <c r="AH2" s="109"/>
    </row>
    <row r="3" spans="2:55" ht="27" thickBot="1">
      <c r="B3" s="612">
        <f>'Исходные данные'!J12</f>
        <v>4444</v>
      </c>
      <c r="C3" s="612"/>
      <c r="F3" s="110"/>
      <c r="G3" s="110"/>
      <c r="H3" s="110"/>
      <c r="I3" s="110"/>
      <c r="J3" s="110"/>
      <c r="K3" s="109"/>
    </row>
    <row r="4" spans="2:55" ht="27.75" customHeight="1" thickBot="1">
      <c r="B4" s="612"/>
      <c r="C4" s="612"/>
      <c r="E4" s="10"/>
      <c r="F4" s="613" t="s">
        <v>173</v>
      </c>
      <c r="G4" s="613"/>
      <c r="H4" s="613"/>
      <c r="I4" s="613"/>
      <c r="J4" s="613"/>
      <c r="K4" s="613"/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3"/>
      <c r="X4" s="613"/>
      <c r="Y4" s="613"/>
      <c r="Z4" s="613"/>
      <c r="AA4" s="613"/>
      <c r="AB4" s="613"/>
      <c r="AC4" s="613"/>
      <c r="AD4" s="613"/>
      <c r="AE4" s="613"/>
      <c r="AF4" s="613"/>
      <c r="AG4" s="613"/>
      <c r="AH4" s="613"/>
      <c r="AI4" s="613"/>
      <c r="AJ4" s="613"/>
      <c r="AK4" s="613"/>
      <c r="AR4" s="345"/>
      <c r="AS4" s="659" t="s">
        <v>284</v>
      </c>
      <c r="AT4" s="656" t="s">
        <v>277</v>
      </c>
      <c r="AU4" s="656" t="s">
        <v>264</v>
      </c>
      <c r="AV4" s="656" t="s">
        <v>285</v>
      </c>
      <c r="AW4" s="686" t="s">
        <v>326</v>
      </c>
      <c r="AX4" s="656" t="s">
        <v>327</v>
      </c>
      <c r="AY4" s="689" t="s">
        <v>296</v>
      </c>
      <c r="AZ4" s="656" t="s">
        <v>304</v>
      </c>
      <c r="BA4" s="683" t="s">
        <v>296</v>
      </c>
      <c r="BC4" s="680" t="s">
        <v>311</v>
      </c>
    </row>
    <row r="5" spans="2:55" ht="48" customHeight="1" thickBot="1">
      <c r="B5" s="612"/>
      <c r="C5" s="612"/>
      <c r="D5" s="111"/>
      <c r="E5" s="361" t="s">
        <v>148</v>
      </c>
      <c r="F5" s="363" t="s">
        <v>149</v>
      </c>
      <c r="G5" s="363" t="s">
        <v>150</v>
      </c>
      <c r="H5" s="269" t="s">
        <v>151</v>
      </c>
      <c r="I5" s="269"/>
      <c r="J5" s="269"/>
      <c r="K5" s="365" t="s">
        <v>271</v>
      </c>
      <c r="L5" s="655" t="s">
        <v>220</v>
      </c>
      <c r="M5" s="365"/>
      <c r="N5" s="365" t="s">
        <v>152</v>
      </c>
      <c r="O5" s="365" t="s">
        <v>314</v>
      </c>
      <c r="P5" s="655" t="s">
        <v>281</v>
      </c>
      <c r="Q5" s="655"/>
      <c r="R5" s="365" t="s">
        <v>316</v>
      </c>
      <c r="S5" s="365" t="s">
        <v>153</v>
      </c>
      <c r="T5" s="365"/>
      <c r="U5" s="662" t="s">
        <v>257</v>
      </c>
      <c r="V5" s="662" t="s">
        <v>318</v>
      </c>
      <c r="W5" s="662" t="s">
        <v>294</v>
      </c>
      <c r="X5" s="674" t="s">
        <v>319</v>
      </c>
      <c r="Y5" s="662" t="s">
        <v>294</v>
      </c>
      <c r="Z5" s="614" t="s">
        <v>320</v>
      </c>
      <c r="AA5" s="614"/>
      <c r="AB5" s="614"/>
      <c r="AC5" s="614"/>
      <c r="AD5" s="662" t="s">
        <v>220</v>
      </c>
      <c r="AE5" s="667" t="s">
        <v>321</v>
      </c>
      <c r="AF5" s="667"/>
      <c r="AG5" s="667"/>
      <c r="AH5" s="655" t="s">
        <v>280</v>
      </c>
      <c r="AI5" s="655"/>
      <c r="AJ5" s="668" t="s">
        <v>323</v>
      </c>
      <c r="AK5" s="669"/>
      <c r="AL5" s="356"/>
      <c r="AN5" s="671" t="s">
        <v>291</v>
      </c>
      <c r="AO5" s="672"/>
      <c r="AP5" s="672"/>
      <c r="AQ5" s="673"/>
      <c r="AR5" s="346"/>
      <c r="AS5" s="660"/>
      <c r="AT5" s="657"/>
      <c r="AU5" s="657"/>
      <c r="AV5" s="657"/>
      <c r="AW5" s="687"/>
      <c r="AX5" s="657"/>
      <c r="AY5" s="690"/>
      <c r="AZ5" s="657"/>
      <c r="BA5" s="684"/>
      <c r="BC5" s="681"/>
    </row>
    <row r="6" spans="2:55" ht="40.5" customHeight="1" thickBot="1">
      <c r="B6" s="612"/>
      <c r="C6" s="612"/>
      <c r="D6" s="111"/>
      <c r="E6" s="362"/>
      <c r="F6" s="364"/>
      <c r="G6" s="364"/>
      <c r="H6" s="270"/>
      <c r="I6" s="270"/>
      <c r="J6" s="270"/>
      <c r="K6" s="366" t="s">
        <v>266</v>
      </c>
      <c r="L6" s="670"/>
      <c r="M6" s="366"/>
      <c r="N6" s="366"/>
      <c r="O6" s="366" t="s">
        <v>315</v>
      </c>
      <c r="P6" s="366" t="s">
        <v>155</v>
      </c>
      <c r="Q6" s="366" t="s">
        <v>156</v>
      </c>
      <c r="R6" s="366" t="s">
        <v>317</v>
      </c>
      <c r="S6" s="366"/>
      <c r="T6" s="271"/>
      <c r="U6" s="663"/>
      <c r="V6" s="663"/>
      <c r="W6" s="663"/>
      <c r="X6" s="675"/>
      <c r="Y6" s="663"/>
      <c r="Z6" s="359" t="s">
        <v>155</v>
      </c>
      <c r="AA6" s="359" t="s">
        <v>2</v>
      </c>
      <c r="AB6" s="359" t="s">
        <v>156</v>
      </c>
      <c r="AC6" s="359" t="s">
        <v>2</v>
      </c>
      <c r="AD6" s="663"/>
      <c r="AE6" s="272" t="s">
        <v>317</v>
      </c>
      <c r="AF6" s="271" t="s">
        <v>172</v>
      </c>
      <c r="AG6" s="271" t="s">
        <v>169</v>
      </c>
      <c r="AH6" s="272" t="s">
        <v>315</v>
      </c>
      <c r="AI6" s="271" t="s">
        <v>169</v>
      </c>
      <c r="AJ6" s="272" t="s">
        <v>322</v>
      </c>
      <c r="AK6" s="374" t="s">
        <v>169</v>
      </c>
      <c r="AL6" s="356"/>
      <c r="AN6" s="343" t="s">
        <v>155</v>
      </c>
      <c r="AO6" s="344" t="s">
        <v>156</v>
      </c>
      <c r="AP6" s="10"/>
      <c r="AQ6" s="10"/>
      <c r="AR6" s="346"/>
      <c r="AS6" s="661"/>
      <c r="AT6" s="658"/>
      <c r="AU6" s="658"/>
      <c r="AV6" s="658"/>
      <c r="AW6" s="688"/>
      <c r="AX6" s="658"/>
      <c r="AY6" s="691"/>
      <c r="AZ6" s="658"/>
      <c r="BA6" s="685"/>
      <c r="BC6" s="682"/>
    </row>
    <row r="7" spans="2:55" ht="41.25" customHeight="1" thickBot="1">
      <c r="B7" s="612"/>
      <c r="C7" s="612"/>
      <c r="E7" s="299">
        <v>1</v>
      </c>
      <c r="F7" s="324">
        <f>'Исходные данные'!B16</f>
        <v>0</v>
      </c>
      <c r="G7" s="324" t="str">
        <f>'Задание на ТРУМПФ'!G7</f>
        <v>-х  -</v>
      </c>
      <c r="H7" s="324"/>
      <c r="I7" s="324" t="str">
        <f>IF('Исходные данные'!K16=1,"ВГ 199.01.00.001",IF('Исходные данные'!K16=2,"ВГ 199.01.00.008","---"))</f>
        <v>---</v>
      </c>
      <c r="J7" s="324" t="str">
        <f>IF('Исходные данные'!K16=1,"ВГ 199.01.00.002",IF('Исходные данные'!K16=2,"ВГ 199.01.00.007","---"))</f>
        <v>---</v>
      </c>
      <c r="K7" s="415">
        <f>'Задание на ТРУМПФ'!I7</f>
        <v>0</v>
      </c>
      <c r="L7" s="416">
        <f>'Задание на ТРУМПФ'!L7</f>
        <v>0</v>
      </c>
      <c r="M7" s="325"/>
      <c r="N7" s="325"/>
      <c r="O7" s="419">
        <f>'Задание на ТРУМПФ'!M7</f>
        <v>0</v>
      </c>
      <c r="P7" s="419">
        <f>IF('Исходные данные'!AK16=1,'Исходные данные'!I16/'Исходные данные'!AB16-14,IF('Исходные данные'!AK16=2,'Исходные данные'!I16/'Исходные данные'!AB16-14,IF('Исходные данные'!AK16=3,('Исходные данные'!I16-24)/'Исходные данные'!AB16-8.7,0)))</f>
        <v>0</v>
      </c>
      <c r="Q7" s="419">
        <f>IF('Исходные данные'!AK16=1,'Исходные данные'!J16-11,IF('Исходные данные'!AK16=2,'Исходные данные'!J16-11,IF('Исходные данные'!AK16=3,'Исходные данные'!J16-32,0)))</f>
        <v>0</v>
      </c>
      <c r="R7" s="419">
        <f>IF('Исходные данные'!K16=1,'Задание на ТРУМПФ'!T7,IF('Исходные данные'!K16=2,'Задание на ножницы'!O7,0))</f>
        <v>0</v>
      </c>
      <c r="S7" s="419" t="e">
        <f>#REF!</f>
        <v>#REF!</v>
      </c>
      <c r="T7" s="419">
        <f>IF('Исходные данные'!J16&lt;399,30,IF('Исходные данные'!J16&lt;401,95,IF('Исходные данные'!J16&gt;=450,135,0)))</f>
        <v>30</v>
      </c>
      <c r="U7" s="419">
        <f>'Задание на ТРУМПФ'!U7</f>
        <v>0</v>
      </c>
      <c r="V7" s="419">
        <f>'Задание на ТРУМПФ'!V7</f>
        <v>0</v>
      </c>
      <c r="W7" s="419">
        <f>'Задание на ТРУМПФ'!W7*4</f>
        <v>0</v>
      </c>
      <c r="X7" s="419">
        <f>'Задание на ТРУМПФ'!X7</f>
        <v>0</v>
      </c>
      <c r="Y7" s="419">
        <f>'Задание на ТРУМПФ'!Y7</f>
        <v>0</v>
      </c>
      <c r="Z7" s="419">
        <f>'Задание на ТРУМПФ'!AB7</f>
        <v>0</v>
      </c>
      <c r="AA7" s="419">
        <f>'Задание на ТРУМПФ'!AC7</f>
        <v>0</v>
      </c>
      <c r="AB7" s="419">
        <f>'Задание на ТРУМПФ'!AD7</f>
        <v>0</v>
      </c>
      <c r="AC7" s="419">
        <f>'Задание на ТРУМПФ'!AE7</f>
        <v>0</v>
      </c>
      <c r="AD7" s="419">
        <f>'Задание на ТРУМПФ'!AF7</f>
        <v>0</v>
      </c>
      <c r="AE7" s="419">
        <f>IF('Исходные данные'!K16=1,'Исходные данные'!J16,0)</f>
        <v>0</v>
      </c>
      <c r="AF7" s="419">
        <f>IF('Задание на гибку'!H17&lt;400,30,IF('Задание на гибку'!H17&lt;450,95,IF('Задание на гибку'!H17&lt;=1200,135,0)))</f>
        <v>30</v>
      </c>
      <c r="AG7" s="419">
        <f>'Задание на ТРУМПФ'!AH7</f>
        <v>0</v>
      </c>
      <c r="AH7" s="420">
        <f>IF('Исходные данные'!K16=1,'Исходные данные'!J16,0)</f>
        <v>0</v>
      </c>
      <c r="AI7" s="420">
        <f>'Задание на ТРУМПФ'!AJ7</f>
        <v>0</v>
      </c>
      <c r="AJ7" s="420">
        <f>'Задание на ТРУМПФ'!AK7</f>
        <v>0</v>
      </c>
      <c r="AK7" s="421">
        <f>'Задание на ТРУМПФ'!AL7</f>
        <v>0</v>
      </c>
      <c r="AL7" s="356"/>
      <c r="AN7" s="299">
        <f>IF('Исходные данные'!AK16=1,нормы!$F$5*2,IF('Исходные данные'!AK16=2,нормы!$E$5*2,IF('Исходные данные'!AK16=3,AP48,)))</f>
        <v>0</v>
      </c>
      <c r="AO7" s="284">
        <f>IF('Исходные данные'!AK16=1,нормы!$D$5*2,IF('Исходные данные'!AK16=2,нормы!$G$5*2,IF('Исходные данные'!AK16=3,нормы!$B$5*8*2,0)))</f>
        <v>0</v>
      </c>
      <c r="AP7" s="284">
        <f>AN7+AO7</f>
        <v>0</v>
      </c>
      <c r="AQ7" s="285">
        <f t="shared" ref="AQ7:AQ21" si="0">AP7*O7</f>
        <v>0</v>
      </c>
      <c r="AR7" s="186"/>
      <c r="AS7" s="299">
        <f>IF(R7&gt;0,0.034*R7,0)</f>
        <v>0</v>
      </c>
      <c r="AT7" s="348">
        <f>IF(AG7&gt;0,нормы!$C$4*AG7,0)</f>
        <v>0</v>
      </c>
      <c r="AU7" s="348">
        <f>IF(AI7&gt;0,нормы!$E$5*AI7,0)</f>
        <v>0</v>
      </c>
      <c r="AV7" s="284">
        <f>IF(AK7&gt;0,нормы!$C$5*AK7,0)</f>
        <v>0</v>
      </c>
      <c r="AW7" s="349">
        <f>ROUNDDOWN(IF('Исходные данные'!S16="Р",'Исходные данные'!J16/52,0),0)</f>
        <v>0</v>
      </c>
      <c r="AX7" s="349">
        <f>IF('Исходные данные'!I16=0,0,IF('Исходные данные'!I16&lt;1000,AW7+4,IF('Исходные данные'!I16&gt;1000,AW7*2+4,0)))</f>
        <v>0</v>
      </c>
      <c r="AY7" s="369">
        <f>AX7*нормы!$B$5*Y7</f>
        <v>0</v>
      </c>
      <c r="AZ7" s="284">
        <f>AA7+AC7</f>
        <v>0</v>
      </c>
      <c r="BA7" s="284">
        <f>AZ7*нормы!$F$5</f>
        <v>0</v>
      </c>
      <c r="BC7" s="377">
        <f>W7*нормы!$C$5</f>
        <v>0</v>
      </c>
    </row>
    <row r="8" spans="2:55" ht="45.75" customHeight="1" thickBot="1">
      <c r="B8" s="612"/>
      <c r="C8" s="612"/>
      <c r="E8" s="116">
        <f>E7+1</f>
        <v>2</v>
      </c>
      <c r="F8" s="487">
        <f>'Исходные данные'!B17</f>
        <v>0</v>
      </c>
      <c r="G8" s="487" t="str">
        <f>'Задание на ТРУМПФ'!G8</f>
        <v>-х  -</v>
      </c>
      <c r="H8" s="487"/>
      <c r="I8" s="487" t="str">
        <f>IF('Исходные данные'!K17=1,"ВГ 199.01.00.001",IF('Исходные данные'!K17=2,"ВГ 199.01.00.008","---"))</f>
        <v>---</v>
      </c>
      <c r="J8" s="487" t="str">
        <f>IF('Исходные данные'!K17=1,"ВГ 199.01.00.002",IF('Исходные данные'!K17=2,"ВГ 199.01.00.007","---"))</f>
        <v>---</v>
      </c>
      <c r="K8" s="415">
        <f>'Задание на ТРУМПФ'!I8</f>
        <v>0</v>
      </c>
      <c r="L8" s="417">
        <f>'Задание на ТРУМПФ'!L8</f>
        <v>0</v>
      </c>
      <c r="M8" s="266"/>
      <c r="N8" s="266"/>
      <c r="O8" s="419">
        <f>'Задание на ТРУМПФ'!M8</f>
        <v>0</v>
      </c>
      <c r="P8" s="419">
        <f>IF('Исходные данные'!AK17=1,'Исходные данные'!I17/'Исходные данные'!AB17-14,IF('Исходные данные'!AK17=2,'Исходные данные'!I17/'Исходные данные'!AB17-14,IF('Исходные данные'!AK17=3,('Исходные данные'!I17-24)/'Исходные данные'!AB17-8.7,0)))</f>
        <v>0</v>
      </c>
      <c r="Q8" s="419">
        <f>IF('Исходные данные'!AK17=1,'Исходные данные'!J17-11,IF('Исходные данные'!AK17=2,'Исходные данные'!J17-11,IF('Исходные данные'!AK17=3,'Исходные данные'!J17-32,0)))</f>
        <v>0</v>
      </c>
      <c r="R8" s="422">
        <f>IF('Исходные данные'!K17=1,'Задание на ТРУМПФ'!T8,IF('Исходные данные'!K17=2,'Задание на ножницы'!O8,0))</f>
        <v>0</v>
      </c>
      <c r="S8" s="422" t="e">
        <f>#REF!</f>
        <v>#REF!</v>
      </c>
      <c r="T8" s="422">
        <f>IF('Исходные данные'!J17&lt;399,30,IF('Исходные данные'!J17&lt;401,95,IF('Исходные данные'!J17&gt;=450,135,0)))</f>
        <v>30</v>
      </c>
      <c r="U8" s="422">
        <f>'Задание на ТРУМПФ'!U8</f>
        <v>0</v>
      </c>
      <c r="V8" s="422">
        <f>'Задание на ТРУМПФ'!V8</f>
        <v>0</v>
      </c>
      <c r="W8" s="422">
        <f>'Задание на ТРУМПФ'!W8*4</f>
        <v>0</v>
      </c>
      <c r="X8" s="422">
        <f>'Задание на ТРУМПФ'!X8</f>
        <v>0</v>
      </c>
      <c r="Y8" s="422">
        <f>'Задание на ТРУМПФ'!Y8</f>
        <v>0</v>
      </c>
      <c r="Z8" s="422">
        <f>'Задание на ТРУМПФ'!AB8</f>
        <v>0</v>
      </c>
      <c r="AA8" s="422">
        <f>'Задание на ТРУМПФ'!AC8</f>
        <v>0</v>
      </c>
      <c r="AB8" s="422">
        <f>'Задание на ТРУМПФ'!AD8</f>
        <v>0</v>
      </c>
      <c r="AC8" s="422">
        <f>'Задание на ТРУМПФ'!AE8</f>
        <v>0</v>
      </c>
      <c r="AD8" s="422">
        <f>'Задание на ТРУМПФ'!AF8</f>
        <v>0</v>
      </c>
      <c r="AE8" s="422">
        <f>IF('Исходные данные'!K17=1,'Исходные данные'!J17,0)</f>
        <v>0</v>
      </c>
      <c r="AF8" s="422">
        <f>IF('Задание на гибку'!H18&lt;400,30,IF('Задание на гибку'!H18&lt;450,95,IF('Задание на гибку'!H18&lt;=1200,135,0)))</f>
        <v>30</v>
      </c>
      <c r="AG8" s="422">
        <f>'Задание на ТРУМПФ'!AH8</f>
        <v>0</v>
      </c>
      <c r="AH8" s="423">
        <f>IF('Исходные данные'!K17=1,'Исходные данные'!J17,0)</f>
        <v>0</v>
      </c>
      <c r="AI8" s="423">
        <f>'Задание на ТРУМПФ'!AJ8</f>
        <v>0</v>
      </c>
      <c r="AJ8" s="420">
        <f>'Задание на ТРУМПФ'!AK8</f>
        <v>0</v>
      </c>
      <c r="AK8" s="421">
        <f>'Задание на ТРУМПФ'!AL8</f>
        <v>0</v>
      </c>
      <c r="AL8" s="356"/>
      <c r="AN8" s="116">
        <f>IF('Исходные данные'!AK17=1,нормы!$F$5*2,IF('Исходные данные'!AK17=2,нормы!$E$5*2,IF('Исходные данные'!AK17=3,нормы!$B$5*8*2,)))</f>
        <v>0</v>
      </c>
      <c r="AO8" s="4">
        <f>IF('Исходные данные'!AK17=1,нормы!$D$5*2,IF('Исходные данные'!AK17=2,нормы!$G$5*2,IF('Исходные данные'!AK17=3,нормы!$B$5*8*2,0)))</f>
        <v>0</v>
      </c>
      <c r="AP8" s="4">
        <f t="shared" ref="AP8:AP21" si="1">AN8+AO8</f>
        <v>0</v>
      </c>
      <c r="AQ8" s="159">
        <f t="shared" si="0"/>
        <v>0</v>
      </c>
      <c r="AR8" s="347"/>
      <c r="AS8" s="116">
        <f t="shared" ref="AS8:AS21" si="2">IF(R8&gt;0,0.034*R8,0)</f>
        <v>0</v>
      </c>
      <c r="AT8" s="101">
        <f>IF(AG8&gt;0,нормы!$C$4*AG8,0)</f>
        <v>0</v>
      </c>
      <c r="AU8" s="101">
        <f>IF(AI8&gt;0,нормы!$E$5*AI8,0)</f>
        <v>0</v>
      </c>
      <c r="AV8" s="284">
        <f>IF(AK8&gt;0,нормы!$C$5*AK8,0)</f>
        <v>0</v>
      </c>
      <c r="AW8" s="331">
        <f>ROUNDDOWN(IF('Исходные данные'!S17="Р",'Исходные данные'!J17/52,0),0)</f>
        <v>0</v>
      </c>
      <c r="AX8" s="331">
        <f>IF('Исходные данные'!I17=0,0,IF('Исходные данные'!I17&lt;1000,AW8+4,IF('Исходные данные'!I17&gt;1000,AW8*2+4,0)))</f>
        <v>0</v>
      </c>
      <c r="AY8" s="375">
        <f>AX8*нормы!$B$5*Y8</f>
        <v>0</v>
      </c>
      <c r="AZ8" s="4">
        <f t="shared" ref="AZ8:AZ27" si="3">AA8+AC8</f>
        <v>0</v>
      </c>
      <c r="BA8" s="284">
        <f>AZ8*нормы!$F$5</f>
        <v>0</v>
      </c>
      <c r="BC8" s="378">
        <f>W8*нормы!$C$5</f>
        <v>0</v>
      </c>
    </row>
    <row r="9" spans="2:55" ht="33" customHeight="1" thickBot="1">
      <c r="B9" s="605" t="s">
        <v>157</v>
      </c>
      <c r="E9" s="116">
        <f t="shared" ref="E9:E24" si="4">E8+1</f>
        <v>3</v>
      </c>
      <c r="F9" s="487">
        <f>'Исходные данные'!B18</f>
        <v>0</v>
      </c>
      <c r="G9" s="487" t="str">
        <f>'Задание на ТРУМПФ'!G9</f>
        <v>-х  -</v>
      </c>
      <c r="H9" s="487"/>
      <c r="I9" s="487" t="str">
        <f>IF('Исходные данные'!K18=1,"ВГ 199.01.00.001",IF('Исходные данные'!K18=2,"ВГ 199.01.00.008","---"))</f>
        <v>---</v>
      </c>
      <c r="J9" s="487" t="str">
        <f>IF('Исходные данные'!K18=1,"ВГ 199.01.00.002",IF('Исходные данные'!K18=2,"ВГ 199.01.00.007","---"))</f>
        <v>---</v>
      </c>
      <c r="K9" s="415">
        <f>'Задание на ТРУМПФ'!I9</f>
        <v>0</v>
      </c>
      <c r="L9" s="417">
        <f>'Задание на ТРУМПФ'!L9</f>
        <v>0</v>
      </c>
      <c r="M9" s="266"/>
      <c r="N9" s="266"/>
      <c r="O9" s="419">
        <f>'Задание на ТРУМПФ'!M9</f>
        <v>0</v>
      </c>
      <c r="P9" s="419">
        <f>IF('Исходные данные'!AK18=1,'Исходные данные'!I18/'Исходные данные'!AB18-14,IF('Исходные данные'!AK18=2,'Исходные данные'!I18/'Исходные данные'!AB18-14,IF('Исходные данные'!AK18=3,('Исходные данные'!I18-24)/'Исходные данные'!AB18-8.7,0)))</f>
        <v>0</v>
      </c>
      <c r="Q9" s="419">
        <f>IF('Исходные данные'!AK18=1,'Исходные данные'!J18-11,IF('Исходные данные'!AK18=2,'Исходные данные'!J18-11,IF('Исходные данные'!AK18=3,'Исходные данные'!J18-32,0)))</f>
        <v>0</v>
      </c>
      <c r="R9" s="422">
        <f>IF('Исходные данные'!K18=1,'Задание на ТРУМПФ'!T9,IF('Исходные данные'!K18=2,'Задание на ножницы'!O9,0))</f>
        <v>0</v>
      </c>
      <c r="S9" s="422" t="e">
        <f>#REF!</f>
        <v>#REF!</v>
      </c>
      <c r="T9" s="422">
        <f>IF('Исходные данные'!J18&lt;399,30,IF('Исходные данные'!J18&lt;401,95,IF('Исходные данные'!J18&gt;=450,135,0)))</f>
        <v>30</v>
      </c>
      <c r="U9" s="422">
        <f>'Задание на ТРУМПФ'!U9</f>
        <v>0</v>
      </c>
      <c r="V9" s="422">
        <f>'Задание на ТРУМПФ'!V9</f>
        <v>0</v>
      </c>
      <c r="W9" s="422">
        <f>'Задание на ТРУМПФ'!W9*4</f>
        <v>0</v>
      </c>
      <c r="X9" s="422">
        <f>'Задание на ТРУМПФ'!X9</f>
        <v>0</v>
      </c>
      <c r="Y9" s="422">
        <f>'Задание на ТРУМПФ'!Y9</f>
        <v>0</v>
      </c>
      <c r="Z9" s="422">
        <f>'Задание на ТРУМПФ'!AB9</f>
        <v>0</v>
      </c>
      <c r="AA9" s="422">
        <f>'Задание на ТРУМПФ'!AC9</f>
        <v>0</v>
      </c>
      <c r="AB9" s="422">
        <f>'Задание на ТРУМПФ'!AD9</f>
        <v>0</v>
      </c>
      <c r="AC9" s="422">
        <f>'Задание на ТРУМПФ'!AE9</f>
        <v>0</v>
      </c>
      <c r="AD9" s="422">
        <f>'Задание на ТРУМПФ'!AF9</f>
        <v>0</v>
      </c>
      <c r="AE9" s="422">
        <f>IF('Исходные данные'!K18=1,'Исходные данные'!J18,0)</f>
        <v>0</v>
      </c>
      <c r="AF9" s="422">
        <f>IF('Задание на гибку'!H19&lt;400,30,IF('Задание на гибку'!H19&lt;450,95,IF('Задание на гибку'!H19&lt;=1200,135,0)))</f>
        <v>30</v>
      </c>
      <c r="AG9" s="422">
        <f>'Задание на ТРУМПФ'!AH9</f>
        <v>0</v>
      </c>
      <c r="AH9" s="423">
        <f>IF('Исходные данные'!K18=1,'Исходные данные'!J18,0)</f>
        <v>0</v>
      </c>
      <c r="AI9" s="423">
        <f>'Задание на ТРУМПФ'!AJ9</f>
        <v>0</v>
      </c>
      <c r="AJ9" s="420">
        <f>'Задание на ТРУМПФ'!AK9</f>
        <v>0</v>
      </c>
      <c r="AK9" s="421">
        <f>'Задание на ТРУМПФ'!AL9</f>
        <v>0</v>
      </c>
      <c r="AL9" s="356"/>
      <c r="AN9" s="116">
        <f>IF('Исходные данные'!AK18=1,нормы!$F$5*2,IF('Исходные данные'!AK18=2,нормы!$E$5*2,IF('Исходные данные'!AK18=3,нормы!$B$5*8*2,)))</f>
        <v>0</v>
      </c>
      <c r="AO9" s="4">
        <f>IF('Исходные данные'!AK18=1,нормы!$D$5*2,IF('Исходные данные'!AK18=2,нормы!$G$5*2,IF('Исходные данные'!AK18=3,нормы!$B$5*8*2,0)))</f>
        <v>0</v>
      </c>
      <c r="AP9" s="4">
        <f t="shared" si="1"/>
        <v>0</v>
      </c>
      <c r="AQ9" s="159">
        <f t="shared" si="0"/>
        <v>0</v>
      </c>
      <c r="AR9" s="10"/>
      <c r="AS9" s="116">
        <f t="shared" si="2"/>
        <v>0</v>
      </c>
      <c r="AT9" s="101">
        <f>IF(AG9&gt;0,нормы!$C$4*AG9,0)</f>
        <v>0</v>
      </c>
      <c r="AU9" s="101">
        <f>IF(AI9&gt;0,нормы!$E$5*AI9,0)</f>
        <v>0</v>
      </c>
      <c r="AV9" s="284">
        <f>IF(AK9&gt;0,нормы!$C$5*AK9,0)</f>
        <v>0</v>
      </c>
      <c r="AW9" s="331">
        <f>ROUNDDOWN(IF('Исходные данные'!S18="Р",'Исходные данные'!J18/52,0),0)</f>
        <v>0</v>
      </c>
      <c r="AX9" s="331">
        <f>IF('Исходные данные'!I18=0,0,IF('Исходные данные'!I18&lt;1000,AW9+4,IF('Исходные данные'!I18&gt;1000,AW9*2+4,0)))</f>
        <v>0</v>
      </c>
      <c r="AY9" s="375">
        <f>AX9*нормы!$B$5*Y9</f>
        <v>0</v>
      </c>
      <c r="AZ9" s="4">
        <f t="shared" si="3"/>
        <v>0</v>
      </c>
      <c r="BA9" s="284">
        <f>AZ9*нормы!$F$5</f>
        <v>0</v>
      </c>
      <c r="BC9" s="378">
        <f>W9*нормы!$C$5</f>
        <v>0</v>
      </c>
    </row>
    <row r="10" spans="2:55" ht="42" customHeight="1" thickBot="1">
      <c r="B10" s="605"/>
      <c r="E10" s="116">
        <f t="shared" si="4"/>
        <v>4</v>
      </c>
      <c r="F10" s="487">
        <f>'Исходные данные'!B19</f>
        <v>0</v>
      </c>
      <c r="G10" s="487" t="str">
        <f>'Задание на ТРУМПФ'!G10</f>
        <v>-х  -</v>
      </c>
      <c r="H10" s="487"/>
      <c r="I10" s="487" t="str">
        <f>IF('Исходные данные'!K19=1,"ВГ 199.01.00.001",IF('Исходные данные'!K19=2,"ВГ 199.01.00.008","---"))</f>
        <v>---</v>
      </c>
      <c r="J10" s="487" t="str">
        <f>IF('Исходные данные'!K19=1,"ВГ 199.01.00.002",IF('Исходные данные'!K19=2,"ВГ 199.01.00.007","---"))</f>
        <v>---</v>
      </c>
      <c r="K10" s="415">
        <f>'Задание на ТРУМПФ'!I10</f>
        <v>0</v>
      </c>
      <c r="L10" s="417">
        <f>'Задание на ТРУМПФ'!L10</f>
        <v>0</v>
      </c>
      <c r="M10" s="266"/>
      <c r="N10" s="266"/>
      <c r="O10" s="419">
        <f>'Задание на ТРУМПФ'!M10</f>
        <v>0</v>
      </c>
      <c r="P10" s="419">
        <f>IF('Исходные данные'!AK19=1,'Исходные данные'!I19/'Исходные данные'!AB19-14,IF('Исходные данные'!AK19=2,'Исходные данные'!I19/'Исходные данные'!AB19-14,IF('Исходные данные'!AK19=3,('Исходные данные'!I19-24)/'Исходные данные'!AB19-8.7,0)))</f>
        <v>0</v>
      </c>
      <c r="Q10" s="419">
        <f>IF('Исходные данные'!AK19=1,'Исходные данные'!J19-11,IF('Исходные данные'!AK19=2,'Исходные данные'!J19-11,IF('Исходные данные'!AK19=3,'Исходные данные'!J19-32,0)))</f>
        <v>0</v>
      </c>
      <c r="R10" s="422">
        <f>IF('Исходные данные'!K19=1,'Задание на ТРУМПФ'!T10,IF('Исходные данные'!K19=2,'Задание на ножницы'!O10,0))</f>
        <v>0</v>
      </c>
      <c r="S10" s="422" t="e">
        <f>#REF!</f>
        <v>#REF!</v>
      </c>
      <c r="T10" s="422">
        <f>IF('Исходные данные'!J19&lt;399,30,IF('Исходные данные'!J19&lt;401,95,IF('Исходные данные'!J19&gt;=450,135,0)))</f>
        <v>30</v>
      </c>
      <c r="U10" s="422">
        <f>'Задание на ТРУМПФ'!U10</f>
        <v>0</v>
      </c>
      <c r="V10" s="422">
        <f>'Задание на ТРУМПФ'!V10</f>
        <v>0</v>
      </c>
      <c r="W10" s="422">
        <f>'Задание на ТРУМПФ'!W10*4</f>
        <v>0</v>
      </c>
      <c r="X10" s="422">
        <f>'Задание на ТРУМПФ'!X10</f>
        <v>0</v>
      </c>
      <c r="Y10" s="422">
        <f>'Задание на ТРУМПФ'!Y10</f>
        <v>0</v>
      </c>
      <c r="Z10" s="422">
        <f>'Задание на ТРУМПФ'!AB10</f>
        <v>0</v>
      </c>
      <c r="AA10" s="422">
        <f>'Задание на ТРУМПФ'!AC10</f>
        <v>0</v>
      </c>
      <c r="AB10" s="422">
        <f>'Задание на ТРУМПФ'!AD10</f>
        <v>0</v>
      </c>
      <c r="AC10" s="422">
        <f>'Задание на ТРУМПФ'!AE10</f>
        <v>0</v>
      </c>
      <c r="AD10" s="422">
        <f>'Задание на ТРУМПФ'!AF10</f>
        <v>0</v>
      </c>
      <c r="AE10" s="422">
        <f>IF('Исходные данные'!K19=1,'Исходные данные'!J19,0)</f>
        <v>0</v>
      </c>
      <c r="AF10" s="422">
        <f>IF('Задание на гибку'!H20&lt;400,30,IF('Задание на гибку'!H20&lt;450,95,IF('Задание на гибку'!H20&lt;=1200,135,0)))</f>
        <v>30</v>
      </c>
      <c r="AG10" s="422">
        <f>'Задание на ТРУМПФ'!AH10</f>
        <v>0</v>
      </c>
      <c r="AH10" s="423">
        <f>IF('Исходные данные'!K19=1,'Исходные данные'!J19,0)</f>
        <v>0</v>
      </c>
      <c r="AI10" s="423">
        <f>'Задание на ТРУМПФ'!AJ10</f>
        <v>0</v>
      </c>
      <c r="AJ10" s="420">
        <f>'Задание на ТРУМПФ'!AK10</f>
        <v>0</v>
      </c>
      <c r="AK10" s="421">
        <f>'Задание на ТРУМПФ'!AL10</f>
        <v>0</v>
      </c>
      <c r="AL10" s="356"/>
      <c r="AN10" s="116">
        <f>IF('Исходные данные'!AK19=1,нормы!$F$5*2,IF('Исходные данные'!AK19=2,нормы!$E$5*2,IF('Исходные данные'!AK19=3,нормы!$B$5*8*2,)))</f>
        <v>0</v>
      </c>
      <c r="AO10" s="4">
        <f>IF('Исходные данные'!AK19=1,нормы!$D$5*2,IF('Исходные данные'!AK19=2,нормы!$G$5*2,IF('Исходные данные'!AK19=3,нормы!$B$5*8*2,0)))</f>
        <v>0</v>
      </c>
      <c r="AP10" s="4">
        <f t="shared" si="1"/>
        <v>0</v>
      </c>
      <c r="AQ10" s="159">
        <f t="shared" si="0"/>
        <v>0</v>
      </c>
      <c r="AR10" s="10"/>
      <c r="AS10" s="116">
        <f t="shared" si="2"/>
        <v>0</v>
      </c>
      <c r="AT10" s="101">
        <f>IF(AG10&gt;0,нормы!$C$4*AG10,0)</f>
        <v>0</v>
      </c>
      <c r="AU10" s="101">
        <f>IF(AI10&gt;0,нормы!$E$5*AI10,0)</f>
        <v>0</v>
      </c>
      <c r="AV10" s="284">
        <f>IF(AK10&gt;0,нормы!$C$5*AK10,0)</f>
        <v>0</v>
      </c>
      <c r="AW10" s="331">
        <f>ROUNDDOWN(IF('Исходные данные'!S19="Р",'Исходные данные'!J19/52,0),0)</f>
        <v>0</v>
      </c>
      <c r="AX10" s="331">
        <f>IF('Исходные данные'!I19=0,0,IF('Исходные данные'!I19&lt;1000,AW10+4,IF('Исходные данные'!I19&gt;1000,AW10*2+4,0)))</f>
        <v>0</v>
      </c>
      <c r="AY10" s="375">
        <f>AX10*нормы!$B$5*Y10</f>
        <v>0</v>
      </c>
      <c r="AZ10" s="4">
        <f t="shared" si="3"/>
        <v>0</v>
      </c>
      <c r="BA10" s="284">
        <f>AZ10*нормы!$F$5</f>
        <v>0</v>
      </c>
      <c r="BC10" s="378">
        <f>W10*нормы!$C$5</f>
        <v>0</v>
      </c>
    </row>
    <row r="11" spans="2:55" ht="33" customHeight="1" thickBot="1">
      <c r="B11" s="605"/>
      <c r="E11" s="116">
        <f t="shared" si="4"/>
        <v>5</v>
      </c>
      <c r="F11" s="487">
        <f>'Исходные данные'!B20</f>
        <v>0</v>
      </c>
      <c r="G11" s="487" t="str">
        <f>'Задание на ТРУМПФ'!G11</f>
        <v>-х  -</v>
      </c>
      <c r="H11" s="487"/>
      <c r="I11" s="487" t="str">
        <f>IF('Исходные данные'!K20=1,"ВГ 199.01.00.001",IF('Исходные данные'!K20=2,"ВГ 199.01.00.008","---"))</f>
        <v>---</v>
      </c>
      <c r="J11" s="487" t="str">
        <f>IF('Исходные данные'!K20=1,"ВГ 199.01.00.002",IF('Исходные данные'!K20=2,"ВГ 199.01.00.007","---"))</f>
        <v>---</v>
      </c>
      <c r="K11" s="415">
        <f>'Задание на ТРУМПФ'!I11</f>
        <v>0</v>
      </c>
      <c r="L11" s="417">
        <f>'Задание на ТРУМПФ'!L11</f>
        <v>0</v>
      </c>
      <c r="M11" s="266"/>
      <c r="N11" s="266"/>
      <c r="O11" s="419">
        <f>'Задание на ТРУМПФ'!M11</f>
        <v>0</v>
      </c>
      <c r="P11" s="419">
        <f>IF('Исходные данные'!AK20=1,'Исходные данные'!I20/'Исходные данные'!AB20-14,IF('Исходные данные'!AK20=2,'Исходные данные'!I20/'Исходные данные'!AB20-14,IF('Исходные данные'!AK20=3,('Исходные данные'!I20-24)/'Исходные данные'!AB20-8.7,0)))</f>
        <v>0</v>
      </c>
      <c r="Q11" s="419">
        <f>IF('Исходные данные'!AK20=1,'Исходные данные'!J20-11,IF('Исходные данные'!AK20=2,'Исходные данные'!J20-11,IF('Исходные данные'!AK20=3,'Исходные данные'!J20-32,0)))</f>
        <v>0</v>
      </c>
      <c r="R11" s="422">
        <f>IF('Исходные данные'!K20=1,'Задание на ТРУМПФ'!T11,IF('Исходные данные'!K20=2,'Задание на ножницы'!O11,0))</f>
        <v>0</v>
      </c>
      <c r="S11" s="422" t="e">
        <f>#REF!</f>
        <v>#REF!</v>
      </c>
      <c r="T11" s="422">
        <f>IF('Исходные данные'!J20&lt;399,30,IF('Исходные данные'!J20&lt;401,95,IF('Исходные данные'!J20&gt;=450,135,0)))</f>
        <v>30</v>
      </c>
      <c r="U11" s="422">
        <f>'Задание на ТРУМПФ'!U11</f>
        <v>0</v>
      </c>
      <c r="V11" s="422">
        <f>'Задание на ТРУМПФ'!V11</f>
        <v>0</v>
      </c>
      <c r="W11" s="422">
        <f>'Задание на ТРУМПФ'!W11*4</f>
        <v>0</v>
      </c>
      <c r="X11" s="422">
        <f>'Задание на ТРУМПФ'!X11</f>
        <v>0</v>
      </c>
      <c r="Y11" s="422">
        <f>'Задание на ТРУМПФ'!Y11</f>
        <v>0</v>
      </c>
      <c r="Z11" s="422">
        <f>'Задание на ТРУМПФ'!AB11</f>
        <v>0</v>
      </c>
      <c r="AA11" s="422">
        <f>'Задание на ТРУМПФ'!AC11</f>
        <v>0</v>
      </c>
      <c r="AB11" s="422">
        <f>'Задание на ТРУМПФ'!AD11</f>
        <v>0</v>
      </c>
      <c r="AC11" s="422">
        <f>'Задание на ТРУМПФ'!AE11</f>
        <v>0</v>
      </c>
      <c r="AD11" s="422">
        <f>'Задание на ТРУМПФ'!AF11</f>
        <v>0</v>
      </c>
      <c r="AE11" s="422">
        <f>IF('Исходные данные'!K20=1,'Исходные данные'!J20,0)</f>
        <v>0</v>
      </c>
      <c r="AF11" s="422">
        <f>IF('Задание на гибку'!H21&lt;400,30,IF('Задание на гибку'!H21&lt;450,95,IF('Задание на гибку'!H21&lt;=1200,135,0)))</f>
        <v>30</v>
      </c>
      <c r="AG11" s="422">
        <f>'Задание на ТРУМПФ'!AH11</f>
        <v>0</v>
      </c>
      <c r="AH11" s="423">
        <f>IF('Исходные данные'!K20=1,'Исходные данные'!J20,0)</f>
        <v>0</v>
      </c>
      <c r="AI11" s="423">
        <f>'Задание на ТРУМПФ'!AJ11</f>
        <v>0</v>
      </c>
      <c r="AJ11" s="420">
        <f>'Задание на ТРУМПФ'!AK11</f>
        <v>0</v>
      </c>
      <c r="AK11" s="421">
        <f>'Задание на ТРУМПФ'!AL11</f>
        <v>0</v>
      </c>
      <c r="AL11" s="356"/>
      <c r="AN11" s="116">
        <f>IF('Исходные данные'!AK20=1,нормы!$F$5*2,IF('Исходные данные'!AK20=2,нормы!$E$5*2,IF('Исходные данные'!AK20=3,нормы!$B$5*8*2,)))</f>
        <v>0</v>
      </c>
      <c r="AO11" s="4">
        <f>IF('Исходные данные'!AK20=1,нормы!$D$5*2,IF('Исходные данные'!AK20=2,нормы!$G$5*2,IF('Исходные данные'!AK20=3,нормы!$B$5*8*2,0)))</f>
        <v>0</v>
      </c>
      <c r="AP11" s="4">
        <f t="shared" si="1"/>
        <v>0</v>
      </c>
      <c r="AQ11" s="159">
        <f t="shared" si="0"/>
        <v>0</v>
      </c>
      <c r="AR11" s="10"/>
      <c r="AS11" s="116">
        <f t="shared" si="2"/>
        <v>0</v>
      </c>
      <c r="AT11" s="101">
        <f>IF(AG11&gt;0,нормы!$C$4*AG11,0)</f>
        <v>0</v>
      </c>
      <c r="AU11" s="101">
        <f>IF(AI11&gt;0,нормы!$E$5*AI11,0)</f>
        <v>0</v>
      </c>
      <c r="AV11" s="284">
        <f>IF(AK11&gt;0,нормы!$C$5*AK11,0)</f>
        <v>0</v>
      </c>
      <c r="AW11" s="331">
        <f>ROUNDDOWN(IF('Исходные данные'!S20="Р",'Исходные данные'!J20/52,0),0)</f>
        <v>0</v>
      </c>
      <c r="AX11" s="331">
        <f>IF('Исходные данные'!I20=0,0,IF('Исходные данные'!I20&lt;1000,AW11+4,IF('Исходные данные'!I20&gt;1000,AW11*2+4,0)))</f>
        <v>0</v>
      </c>
      <c r="AY11" s="375">
        <f>AX11*нормы!$B$5*Y11</f>
        <v>0</v>
      </c>
      <c r="AZ11" s="4">
        <f t="shared" si="3"/>
        <v>0</v>
      </c>
      <c r="BA11" s="284">
        <f>AZ11*нормы!$F$5</f>
        <v>0</v>
      </c>
      <c r="BC11" s="378">
        <f>W11*нормы!$C$5</f>
        <v>0</v>
      </c>
    </row>
    <row r="12" spans="2:55" ht="33" customHeight="1" thickBot="1">
      <c r="B12" s="605"/>
      <c r="E12" s="116">
        <f t="shared" si="4"/>
        <v>6</v>
      </c>
      <c r="F12" s="487">
        <f>'Исходные данные'!B21</f>
        <v>0</v>
      </c>
      <c r="G12" s="487" t="str">
        <f>'Задание на ТРУМПФ'!G12</f>
        <v>-х  -</v>
      </c>
      <c r="H12" s="487"/>
      <c r="I12" s="487" t="str">
        <f>IF('Исходные данные'!K21=1,"ВГ 199.01.00.001",IF('Исходные данные'!K21=2,"ВГ 199.01.00.008","---"))</f>
        <v>---</v>
      </c>
      <c r="J12" s="487" t="str">
        <f>IF('Исходные данные'!K21=1,"ВГ 199.01.00.002",IF('Исходные данные'!K21=2,"ВГ 199.01.00.007","---"))</f>
        <v>---</v>
      </c>
      <c r="K12" s="415">
        <f>'Задание на ТРУМПФ'!I12</f>
        <v>0</v>
      </c>
      <c r="L12" s="417">
        <f>'Задание на ТРУМПФ'!L12</f>
        <v>0</v>
      </c>
      <c r="M12" s="266"/>
      <c r="N12" s="266"/>
      <c r="O12" s="419">
        <f>'Задание на ТРУМПФ'!M12</f>
        <v>0</v>
      </c>
      <c r="P12" s="419">
        <f>IF('Исходные данные'!AK21=1,'Исходные данные'!I21/'Исходные данные'!AB21-14,IF('Исходные данные'!AK21=2,'Исходные данные'!I21/'Исходные данные'!AB21-14,IF('Исходные данные'!AK21=3,('Исходные данные'!I21-24)/'Исходные данные'!AB21-8.7,0)))</f>
        <v>0</v>
      </c>
      <c r="Q12" s="419">
        <f>IF('Исходные данные'!AK21=1,'Исходные данные'!J21-11,IF('Исходные данные'!AK21=2,'Исходные данные'!J21-11,IF('Исходные данные'!AK21=3,'Исходные данные'!J21-32,0)))</f>
        <v>0</v>
      </c>
      <c r="R12" s="422">
        <f>IF('Исходные данные'!K21=1,'Задание на ТРУМПФ'!T12,IF('Исходные данные'!K21=2,'Задание на ножницы'!O12,0))</f>
        <v>0</v>
      </c>
      <c r="S12" s="422" t="e">
        <f>#REF!</f>
        <v>#REF!</v>
      </c>
      <c r="T12" s="422">
        <f>IF('Исходные данные'!J21&lt;399,30,IF('Исходные данные'!J21&lt;401,95,IF('Исходные данные'!J21&gt;=450,135,0)))</f>
        <v>30</v>
      </c>
      <c r="U12" s="422">
        <f>'Задание на ТРУМПФ'!U12</f>
        <v>0</v>
      </c>
      <c r="V12" s="422">
        <f>'Задание на ТРУМПФ'!V12</f>
        <v>0</v>
      </c>
      <c r="W12" s="422">
        <f>'Задание на ТРУМПФ'!W12*4</f>
        <v>0</v>
      </c>
      <c r="X12" s="422">
        <f>'Задание на ТРУМПФ'!X12</f>
        <v>0</v>
      </c>
      <c r="Y12" s="422">
        <f>'Задание на ТРУМПФ'!Y12</f>
        <v>0</v>
      </c>
      <c r="Z12" s="422">
        <f>'Задание на ТРУМПФ'!AB12</f>
        <v>0</v>
      </c>
      <c r="AA12" s="422">
        <f>'Задание на ТРУМПФ'!AC12</f>
        <v>0</v>
      </c>
      <c r="AB12" s="422">
        <f>'Задание на ТРУМПФ'!AD12</f>
        <v>0</v>
      </c>
      <c r="AC12" s="422">
        <f>'Задание на ТРУМПФ'!AE12</f>
        <v>0</v>
      </c>
      <c r="AD12" s="422">
        <f>'Задание на ТРУМПФ'!AF12</f>
        <v>0</v>
      </c>
      <c r="AE12" s="422">
        <f>IF('Исходные данные'!K21=1,'Исходные данные'!J21,0)</f>
        <v>0</v>
      </c>
      <c r="AF12" s="422">
        <f>IF('Задание на гибку'!H22&lt;400,30,IF('Задание на гибку'!H22&lt;450,95,IF('Задание на гибку'!H22&lt;=1200,135,0)))</f>
        <v>30</v>
      </c>
      <c r="AG12" s="422">
        <f>'Задание на ТРУМПФ'!AH12</f>
        <v>0</v>
      </c>
      <c r="AH12" s="423">
        <f>IF('Исходные данные'!K21=1,'Исходные данные'!J21,0)</f>
        <v>0</v>
      </c>
      <c r="AI12" s="423">
        <f>'Задание на ТРУМПФ'!AJ12</f>
        <v>0</v>
      </c>
      <c r="AJ12" s="420">
        <f>'Задание на ТРУМПФ'!AK12</f>
        <v>0</v>
      </c>
      <c r="AK12" s="421">
        <f>'Задание на ТРУМПФ'!AL12</f>
        <v>0</v>
      </c>
      <c r="AL12" s="356"/>
      <c r="AN12" s="116">
        <f>IF('Исходные данные'!AK21=1,нормы!$F$5*2,IF('Исходные данные'!AK21=2,нормы!$E$5*2,IF('Исходные данные'!AK21=3,нормы!$B$5*8*2,)))</f>
        <v>0</v>
      </c>
      <c r="AO12" s="4">
        <f>IF('Исходные данные'!AK21=1,нормы!$D$5*2,IF('Исходные данные'!AK21=2,нормы!$G$5*2,IF('Исходные данные'!AK21=3,нормы!$B$5*8*2,0)))</f>
        <v>0</v>
      </c>
      <c r="AP12" s="4">
        <f t="shared" si="1"/>
        <v>0</v>
      </c>
      <c r="AQ12" s="159">
        <f t="shared" si="0"/>
        <v>0</v>
      </c>
      <c r="AR12" s="10"/>
      <c r="AS12" s="116">
        <f t="shared" si="2"/>
        <v>0</v>
      </c>
      <c r="AT12" s="101">
        <f>IF(AG12&gt;0,нормы!$C$4*AG12,0)</f>
        <v>0</v>
      </c>
      <c r="AU12" s="101">
        <f>IF(AI12&gt;0,нормы!$E$5*AI12,0)</f>
        <v>0</v>
      </c>
      <c r="AV12" s="284">
        <f>IF(AK12&gt;0,нормы!$C$5*AK12,0)</f>
        <v>0</v>
      </c>
      <c r="AW12" s="331">
        <f>ROUNDDOWN(IF('Исходные данные'!S21="Р",'Исходные данные'!J21/52,0),0)</f>
        <v>0</v>
      </c>
      <c r="AX12" s="331">
        <f>IF('Исходные данные'!I21=0,0,IF('Исходные данные'!I21&lt;1000,AW12+4,IF('Исходные данные'!I21&gt;1000,AW12*2+4,0)))</f>
        <v>0</v>
      </c>
      <c r="AY12" s="375">
        <f>AX12*нормы!$B$5*Y12</f>
        <v>0</v>
      </c>
      <c r="AZ12" s="4">
        <f t="shared" si="3"/>
        <v>0</v>
      </c>
      <c r="BA12" s="284">
        <f>AZ12*нормы!$F$5</f>
        <v>0</v>
      </c>
      <c r="BC12" s="378">
        <f>W12*нормы!$C$5</f>
        <v>0</v>
      </c>
    </row>
    <row r="13" spans="2:55" ht="33" customHeight="1" thickBot="1">
      <c r="B13" s="605"/>
      <c r="E13" s="116">
        <f t="shared" si="4"/>
        <v>7</v>
      </c>
      <c r="F13" s="487">
        <f>'Исходные данные'!B22</f>
        <v>0</v>
      </c>
      <c r="G13" s="487" t="str">
        <f>'Задание на ТРУМПФ'!G13</f>
        <v>-х  -</v>
      </c>
      <c r="H13" s="487"/>
      <c r="I13" s="487" t="str">
        <f>IF('Исходные данные'!K22=1,"ВГ 199.01.00.001",IF('Исходные данные'!K22=2,"ВГ 199.01.00.008","---"))</f>
        <v>---</v>
      </c>
      <c r="J13" s="487" t="str">
        <f>IF('Исходные данные'!K22=1,"ВГ 199.01.00.002",IF('Исходные данные'!K22=2,"ВГ 199.01.00.007","---"))</f>
        <v>---</v>
      </c>
      <c r="K13" s="415">
        <f>'Задание на ТРУМПФ'!I13</f>
        <v>0</v>
      </c>
      <c r="L13" s="417">
        <f>'Задание на ТРУМПФ'!L13</f>
        <v>0</v>
      </c>
      <c r="M13" s="266"/>
      <c r="N13" s="266"/>
      <c r="O13" s="419">
        <f>'Задание на ТРУМПФ'!M13</f>
        <v>0</v>
      </c>
      <c r="P13" s="419">
        <f>IF('Исходные данные'!AK22=1,'Исходные данные'!I22/'Исходные данные'!AB22-14,IF('Исходные данные'!AK22=2,'Исходные данные'!I22/'Исходные данные'!AB22-14,IF('Исходные данные'!AK22=3,('Исходные данные'!I22-24)/'Исходные данные'!AB22-8.7,0)))</f>
        <v>0</v>
      </c>
      <c r="Q13" s="419">
        <f>IF('Исходные данные'!AK22=1,'Исходные данные'!J22-11,IF('Исходные данные'!AK22=2,'Исходные данные'!J22-11,IF('Исходные данные'!AK22=3,'Исходные данные'!J22-32,0)))</f>
        <v>0</v>
      </c>
      <c r="R13" s="422">
        <f>IF('Исходные данные'!K22=1,'Задание на ТРУМПФ'!T13,IF('Исходные данные'!K22=2,'Задание на ножницы'!O13,0))</f>
        <v>0</v>
      </c>
      <c r="S13" s="422" t="e">
        <f>#REF!</f>
        <v>#REF!</v>
      </c>
      <c r="T13" s="422">
        <f>IF('Исходные данные'!J22&lt;399,30,IF('Исходные данные'!J22&lt;401,95,IF('Исходные данные'!J22&gt;=450,135,0)))</f>
        <v>30</v>
      </c>
      <c r="U13" s="422">
        <f>'Задание на ТРУМПФ'!U13</f>
        <v>0</v>
      </c>
      <c r="V13" s="422">
        <f>'Задание на ТРУМПФ'!V13</f>
        <v>0</v>
      </c>
      <c r="W13" s="422">
        <f>'Задание на ТРУМПФ'!W13*4</f>
        <v>0</v>
      </c>
      <c r="X13" s="422">
        <f>'Задание на ТРУМПФ'!X13</f>
        <v>0</v>
      </c>
      <c r="Y13" s="422">
        <f>'Задание на ТРУМПФ'!Y13</f>
        <v>0</v>
      </c>
      <c r="Z13" s="422">
        <f>'Задание на ТРУМПФ'!AB13</f>
        <v>0</v>
      </c>
      <c r="AA13" s="422">
        <f>'Задание на ТРУМПФ'!AC13</f>
        <v>0</v>
      </c>
      <c r="AB13" s="422">
        <f>'Задание на ТРУМПФ'!AD13</f>
        <v>0</v>
      </c>
      <c r="AC13" s="422">
        <f>'Задание на ТРУМПФ'!AE13</f>
        <v>0</v>
      </c>
      <c r="AD13" s="422">
        <f>'Задание на ТРУМПФ'!AF13</f>
        <v>0</v>
      </c>
      <c r="AE13" s="422">
        <f>IF('Исходные данные'!K22=1,'Исходные данные'!J22,0)</f>
        <v>0</v>
      </c>
      <c r="AF13" s="422">
        <f>IF('Задание на гибку'!H23&lt;400,30,IF('Задание на гибку'!H23&lt;450,95,IF('Задание на гибку'!H23&lt;=1200,135,0)))</f>
        <v>30</v>
      </c>
      <c r="AG13" s="422">
        <f>'Задание на ТРУМПФ'!AH13</f>
        <v>0</v>
      </c>
      <c r="AH13" s="423">
        <f>IF('Исходные данные'!K22=1,'Исходные данные'!J22,0)</f>
        <v>0</v>
      </c>
      <c r="AI13" s="423">
        <f>'Задание на ТРУМПФ'!AJ13</f>
        <v>0</v>
      </c>
      <c r="AJ13" s="420">
        <f>'Задание на ТРУМПФ'!AK13</f>
        <v>0</v>
      </c>
      <c r="AK13" s="421">
        <f>'Задание на ТРУМПФ'!AL13</f>
        <v>0</v>
      </c>
      <c r="AL13" s="356"/>
      <c r="AN13" s="116">
        <f>IF('Исходные данные'!AK22=1,нормы!$F$5*2,IF('Исходные данные'!AK22=2,нормы!$E$5*2,IF('Исходные данные'!AK22=3,нормы!$B$5*8*2,)))</f>
        <v>0</v>
      </c>
      <c r="AO13" s="4">
        <f>IF('Исходные данные'!AK22=1,нормы!$D$5*2,IF('Исходные данные'!AK22=2,нормы!$G$5*2,IF('Исходные данные'!AK22=3,нормы!$B$5*8*2,0)))</f>
        <v>0</v>
      </c>
      <c r="AP13" s="4">
        <f t="shared" si="1"/>
        <v>0</v>
      </c>
      <c r="AQ13" s="159">
        <f t="shared" si="0"/>
        <v>0</v>
      </c>
      <c r="AR13" s="10"/>
      <c r="AS13" s="116">
        <f t="shared" si="2"/>
        <v>0</v>
      </c>
      <c r="AT13" s="101">
        <f>IF(AG13&gt;0,нормы!$C$4*AG13,0)</f>
        <v>0</v>
      </c>
      <c r="AU13" s="101">
        <f>IF(AI13&gt;0,нормы!$E$5*AI13,0)</f>
        <v>0</v>
      </c>
      <c r="AV13" s="284">
        <f>IF(AK13&gt;0,нормы!$C$5*AK13,0)</f>
        <v>0</v>
      </c>
      <c r="AW13" s="331">
        <f>ROUNDDOWN(IF('Исходные данные'!S22="Р",'Исходные данные'!J22/52,0),0)</f>
        <v>0</v>
      </c>
      <c r="AX13" s="331">
        <f>IF('Исходные данные'!I22=0,0,IF('Исходные данные'!I22&lt;1000,AW13+4,IF('Исходные данные'!I22&gt;1000,AW13*2+4,0)))</f>
        <v>0</v>
      </c>
      <c r="AY13" s="375">
        <f>AX13*нормы!$B$5*Y13</f>
        <v>0</v>
      </c>
      <c r="AZ13" s="4">
        <f t="shared" si="3"/>
        <v>0</v>
      </c>
      <c r="BA13" s="284">
        <f>AZ13*нормы!$F$5</f>
        <v>0</v>
      </c>
      <c r="BC13" s="378">
        <f>W13*нормы!$C$5</f>
        <v>0</v>
      </c>
    </row>
    <row r="14" spans="2:55" ht="33" customHeight="1" thickBot="1">
      <c r="B14" s="605"/>
      <c r="E14" s="116">
        <f t="shared" si="4"/>
        <v>8</v>
      </c>
      <c r="F14" s="487">
        <f>'Исходные данные'!B23</f>
        <v>0</v>
      </c>
      <c r="G14" s="487" t="str">
        <f>'Задание на ТРУМПФ'!G14</f>
        <v>-х  -</v>
      </c>
      <c r="H14" s="487"/>
      <c r="I14" s="487" t="str">
        <f>IF('Исходные данные'!K23=1,"ВГ 199.01.00.001",IF('Исходные данные'!K23=2,"ВГ 199.01.00.008","---"))</f>
        <v>---</v>
      </c>
      <c r="J14" s="487" t="str">
        <f>IF('Исходные данные'!K23=1,"ВГ 199.01.00.002",IF('Исходные данные'!K23=2,"ВГ 199.01.00.007","---"))</f>
        <v>---</v>
      </c>
      <c r="K14" s="415">
        <f>'Задание на ТРУМПФ'!I14</f>
        <v>0</v>
      </c>
      <c r="L14" s="417">
        <f>'Задание на ТРУМПФ'!L14</f>
        <v>0</v>
      </c>
      <c r="M14" s="266"/>
      <c r="N14" s="266"/>
      <c r="O14" s="419">
        <f>'Задание на ТРУМПФ'!M14</f>
        <v>0</v>
      </c>
      <c r="P14" s="419">
        <f>IF('Исходные данные'!AK23=1,'Исходные данные'!I23/'Исходные данные'!AB23-14,IF('Исходные данные'!AK23=2,'Исходные данные'!I23/'Исходные данные'!AB23-14,IF('Исходные данные'!AK23=3,('Исходные данные'!I23-24)/'Исходные данные'!AB23-8.7,0)))</f>
        <v>0</v>
      </c>
      <c r="Q14" s="419">
        <f>IF('Исходные данные'!AK23=1,'Исходные данные'!J23-11,IF('Исходные данные'!AK23=2,'Исходные данные'!J23-11,IF('Исходные данные'!AK23=3,'Исходные данные'!J23-32,0)))</f>
        <v>0</v>
      </c>
      <c r="R14" s="422">
        <f>IF('Исходные данные'!K23=1,'Задание на ТРУМПФ'!T14,IF('Исходные данные'!K23=2,'Задание на ножницы'!O14,0))</f>
        <v>0</v>
      </c>
      <c r="S14" s="422" t="e">
        <f>#REF!</f>
        <v>#REF!</v>
      </c>
      <c r="T14" s="422">
        <f>IF('Исходные данные'!J23&lt;399,30,IF('Исходные данные'!J23&lt;401,95,IF('Исходные данные'!J23&gt;=450,135,0)))</f>
        <v>30</v>
      </c>
      <c r="U14" s="422">
        <f>'Задание на ТРУМПФ'!U14</f>
        <v>0</v>
      </c>
      <c r="V14" s="422">
        <f>'Задание на ТРУМПФ'!V14</f>
        <v>0</v>
      </c>
      <c r="W14" s="422">
        <f>'Задание на ТРУМПФ'!W14*4</f>
        <v>0</v>
      </c>
      <c r="X14" s="422">
        <f>'Задание на ТРУМПФ'!X14</f>
        <v>0</v>
      </c>
      <c r="Y14" s="422">
        <f>'Задание на ТРУМПФ'!Y14</f>
        <v>0</v>
      </c>
      <c r="Z14" s="422">
        <f>'Задание на ТРУМПФ'!AB14</f>
        <v>0</v>
      </c>
      <c r="AA14" s="422">
        <f>'Задание на ТРУМПФ'!AC14</f>
        <v>0</v>
      </c>
      <c r="AB14" s="422">
        <f>'Задание на ТРУМПФ'!AD14</f>
        <v>0</v>
      </c>
      <c r="AC14" s="422">
        <f>'Задание на ТРУМПФ'!AE14</f>
        <v>0</v>
      </c>
      <c r="AD14" s="422">
        <f>'Задание на ТРУМПФ'!AF14</f>
        <v>0</v>
      </c>
      <c r="AE14" s="422">
        <f>IF('Исходные данные'!K23=1,'Исходные данные'!J23,0)</f>
        <v>0</v>
      </c>
      <c r="AF14" s="422">
        <f>IF('Задание на гибку'!H24&lt;400,30,IF('Задание на гибку'!H24&lt;450,95,IF('Задание на гибку'!H24&lt;=1200,135,0)))</f>
        <v>30</v>
      </c>
      <c r="AG14" s="422">
        <f>'Задание на ТРУМПФ'!AH14</f>
        <v>0</v>
      </c>
      <c r="AH14" s="423">
        <f>IF('Исходные данные'!K23=1,'Исходные данные'!J23,0)</f>
        <v>0</v>
      </c>
      <c r="AI14" s="423">
        <f>'Задание на ТРУМПФ'!AJ14</f>
        <v>0</v>
      </c>
      <c r="AJ14" s="420">
        <f>'Задание на ТРУМПФ'!AK14</f>
        <v>0</v>
      </c>
      <c r="AK14" s="421">
        <f>'Задание на ТРУМПФ'!AL14</f>
        <v>0</v>
      </c>
      <c r="AL14" s="356"/>
      <c r="AN14" s="116">
        <f>IF('Исходные данные'!AK23=1,нормы!$F$5*2,IF('Исходные данные'!AK23=2,нормы!$E$5*2,IF('Исходные данные'!AK23=3,нормы!$B$5*8*2,)))</f>
        <v>0</v>
      </c>
      <c r="AO14" s="4">
        <f>IF('Исходные данные'!AK23=1,нормы!$D$5*2,IF('Исходные данные'!AK23=2,нормы!$G$5*2,IF('Исходные данные'!AK23=3,нормы!$B$5*8*2,0)))</f>
        <v>0</v>
      </c>
      <c r="AP14" s="4">
        <f t="shared" si="1"/>
        <v>0</v>
      </c>
      <c r="AQ14" s="159">
        <f t="shared" si="0"/>
        <v>0</v>
      </c>
      <c r="AS14" s="116">
        <f t="shared" si="2"/>
        <v>0</v>
      </c>
      <c r="AT14" s="101">
        <f>IF(AG14&gt;0,нормы!$C$4*AG14,0)</f>
        <v>0</v>
      </c>
      <c r="AU14" s="101">
        <f>IF(AI14&gt;0,нормы!$E$5*AI14,0)</f>
        <v>0</v>
      </c>
      <c r="AV14" s="284">
        <f>IF(AK14&gt;0,нормы!$C$5*AK14,0)</f>
        <v>0</v>
      </c>
      <c r="AW14" s="331">
        <f>ROUNDDOWN(IF('Исходные данные'!S23="Р",'Исходные данные'!J23/52,0),0)</f>
        <v>0</v>
      </c>
      <c r="AX14" s="331">
        <f>IF('Исходные данные'!I23=0,0,IF('Исходные данные'!I23&lt;1000,AW14+4,IF('Исходные данные'!I23&gt;1000,AW14*2+4,0)))</f>
        <v>0</v>
      </c>
      <c r="AY14" s="375">
        <f>AX14*нормы!$B$5*Y14</f>
        <v>0</v>
      </c>
      <c r="AZ14" s="4">
        <f t="shared" si="3"/>
        <v>0</v>
      </c>
      <c r="BA14" s="284">
        <f>AZ14*нормы!$F$5</f>
        <v>0</v>
      </c>
      <c r="BC14" s="378">
        <f>W14*нормы!$C$5</f>
        <v>0</v>
      </c>
    </row>
    <row r="15" spans="2:55" ht="33" customHeight="1" thickBot="1">
      <c r="B15" s="605"/>
      <c r="E15" s="116">
        <f t="shared" si="4"/>
        <v>9</v>
      </c>
      <c r="F15" s="487">
        <f>'Исходные данные'!B24</f>
        <v>0</v>
      </c>
      <c r="G15" s="487" t="str">
        <f>'Задание на ТРУМПФ'!G15</f>
        <v>-х  -</v>
      </c>
      <c r="H15" s="487"/>
      <c r="I15" s="487" t="str">
        <f>IF('Исходные данные'!K24=1,"ВГ 199.01.00.001",IF('Исходные данные'!K24=2,"ВГ 199.01.00.008","---"))</f>
        <v>---</v>
      </c>
      <c r="J15" s="487" t="str">
        <f>IF('Исходные данные'!K24=1,"ВГ 199.01.00.002",IF('Исходные данные'!K24=2,"ВГ 199.01.00.007","---"))</f>
        <v>---</v>
      </c>
      <c r="K15" s="415">
        <f>'Задание на ТРУМПФ'!I15</f>
        <v>0</v>
      </c>
      <c r="L15" s="417">
        <f>'Задание на ТРУМПФ'!L15</f>
        <v>0</v>
      </c>
      <c r="M15" s="266"/>
      <c r="N15" s="266"/>
      <c r="O15" s="419">
        <f>'Задание на ТРУМПФ'!M15</f>
        <v>0</v>
      </c>
      <c r="P15" s="419">
        <f>IF('Исходные данные'!AK24=1,'Исходные данные'!I24/'Исходные данные'!AB24-14,IF('Исходные данные'!AK24=2,'Исходные данные'!I24/'Исходные данные'!AB24-14,IF('Исходные данные'!AK24=3,('Исходные данные'!I24-24)/'Исходные данные'!AB24-8.7,0)))</f>
        <v>0</v>
      </c>
      <c r="Q15" s="419">
        <f>IF('Исходные данные'!AK24=1,'Исходные данные'!J24-11,IF('Исходные данные'!AK24=2,'Исходные данные'!J24-11,IF('Исходные данные'!AK24=3,'Исходные данные'!J24-32,0)))</f>
        <v>0</v>
      </c>
      <c r="R15" s="422">
        <f>IF('Исходные данные'!K24=1,'Задание на ТРУМПФ'!T15,IF('Исходные данные'!K24=2,'Задание на ножницы'!O15,0))</f>
        <v>0</v>
      </c>
      <c r="S15" s="422" t="e">
        <f>#REF!</f>
        <v>#REF!</v>
      </c>
      <c r="T15" s="422">
        <f>IF('Исходные данные'!J24&lt;399,30,IF('Исходные данные'!J24&lt;401,95,IF('Исходные данные'!J24&gt;=450,135,0)))</f>
        <v>30</v>
      </c>
      <c r="U15" s="422">
        <f>'Задание на ТРУМПФ'!U15</f>
        <v>0</v>
      </c>
      <c r="V15" s="422">
        <f>'Задание на ТРУМПФ'!V15</f>
        <v>0</v>
      </c>
      <c r="W15" s="422">
        <f>'Задание на ТРУМПФ'!W15*4</f>
        <v>0</v>
      </c>
      <c r="X15" s="422">
        <f>'Задание на ТРУМПФ'!X15</f>
        <v>0</v>
      </c>
      <c r="Y15" s="422">
        <f>'Задание на ТРУМПФ'!Y15</f>
        <v>0</v>
      </c>
      <c r="Z15" s="422">
        <f>'Задание на ТРУМПФ'!AB15</f>
        <v>0</v>
      </c>
      <c r="AA15" s="422">
        <f>'Задание на ТРУМПФ'!AC15</f>
        <v>0</v>
      </c>
      <c r="AB15" s="422">
        <f>'Задание на ТРУМПФ'!AD15</f>
        <v>0</v>
      </c>
      <c r="AC15" s="422">
        <f>'Задание на ТРУМПФ'!AE15</f>
        <v>0</v>
      </c>
      <c r="AD15" s="422">
        <f>'Задание на ТРУМПФ'!AF15</f>
        <v>0</v>
      </c>
      <c r="AE15" s="422">
        <f>IF('Исходные данные'!K24=1,'Исходные данные'!J24,0)</f>
        <v>0</v>
      </c>
      <c r="AF15" s="422">
        <f>IF('Задание на гибку'!H25&lt;400,30,IF('Задание на гибку'!H25&lt;450,95,IF('Задание на гибку'!H25&lt;=1200,135,0)))</f>
        <v>30</v>
      </c>
      <c r="AG15" s="422">
        <f>'Задание на ТРУМПФ'!AH15</f>
        <v>0</v>
      </c>
      <c r="AH15" s="423">
        <f>IF('Исходные данные'!K24=1,'Исходные данные'!J24,0)</f>
        <v>0</v>
      </c>
      <c r="AI15" s="423">
        <f>'Задание на ТРУМПФ'!AJ15</f>
        <v>0</v>
      </c>
      <c r="AJ15" s="420">
        <f>'Задание на ТРУМПФ'!AK15</f>
        <v>0</v>
      </c>
      <c r="AK15" s="421">
        <f>'Задание на ТРУМПФ'!AL15</f>
        <v>0</v>
      </c>
      <c r="AL15" s="356"/>
      <c r="AN15" s="116">
        <f>IF('Исходные данные'!AK24=1,нормы!$F$5*2,IF('Исходные данные'!AK24=2,нормы!$E$5*2,IF('Исходные данные'!AK24=3,нормы!$B$5*8*2,)))</f>
        <v>0</v>
      </c>
      <c r="AO15" s="4">
        <f>IF('Исходные данные'!AK24=1,нормы!$D$5*2,IF('Исходные данные'!AK24=2,нормы!$G$5*2,IF('Исходные данные'!AK24=3,нормы!$B$5*8*2,0)))</f>
        <v>0</v>
      </c>
      <c r="AP15" s="4">
        <f t="shared" si="1"/>
        <v>0</v>
      </c>
      <c r="AQ15" s="159">
        <f t="shared" si="0"/>
        <v>0</v>
      </c>
      <c r="AS15" s="116">
        <f t="shared" si="2"/>
        <v>0</v>
      </c>
      <c r="AT15" s="101">
        <f>IF(AG15&gt;0,нормы!$C$4*AG15,0)</f>
        <v>0</v>
      </c>
      <c r="AU15" s="101">
        <f>IF(AI15&gt;0,нормы!$E$5*AI15,0)</f>
        <v>0</v>
      </c>
      <c r="AV15" s="284">
        <f>IF(AK15&gt;0,нормы!$C$5*AK15,0)</f>
        <v>0</v>
      </c>
      <c r="AW15" s="331">
        <f>ROUNDDOWN(IF('Исходные данные'!S24="Р",'Исходные данные'!J24/52,0),0)</f>
        <v>0</v>
      </c>
      <c r="AX15" s="331">
        <f>IF('Исходные данные'!I24=0,0,IF('Исходные данные'!I24&lt;1000,AW15+4,IF('Исходные данные'!I24&gt;1000,AW15*2+4,0)))</f>
        <v>0</v>
      </c>
      <c r="AY15" s="375">
        <f>AX15*нормы!$B$5*Y15</f>
        <v>0</v>
      </c>
      <c r="AZ15" s="4">
        <f t="shared" si="3"/>
        <v>0</v>
      </c>
      <c r="BA15" s="284">
        <f>AZ15*нормы!$F$5</f>
        <v>0</v>
      </c>
      <c r="BC15" s="378">
        <f>W15*нормы!$C$5</f>
        <v>0</v>
      </c>
    </row>
    <row r="16" spans="2:55" ht="33" customHeight="1" thickBot="1">
      <c r="B16" s="605"/>
      <c r="E16" s="116">
        <f t="shared" si="4"/>
        <v>10</v>
      </c>
      <c r="F16" s="487">
        <f>'Исходные данные'!B25</f>
        <v>0</v>
      </c>
      <c r="G16" s="487" t="str">
        <f>'Задание на ТРУМПФ'!G16</f>
        <v>-х  -</v>
      </c>
      <c r="H16" s="487"/>
      <c r="I16" s="487" t="str">
        <f>IF('Исходные данные'!K25=1,"ВГ 199.01.00.001",IF('Исходные данные'!K25=2,"ВГ 199.01.00.008","---"))</f>
        <v>---</v>
      </c>
      <c r="J16" s="487" t="str">
        <f>IF('Исходные данные'!K25=1,"ВГ 199.01.00.002",IF('Исходные данные'!K25=2,"ВГ 199.01.00.007","---"))</f>
        <v>---</v>
      </c>
      <c r="K16" s="415">
        <f>'Задание на ТРУМПФ'!I16</f>
        <v>0</v>
      </c>
      <c r="L16" s="417">
        <f>'Задание на ТРУМПФ'!L16</f>
        <v>0</v>
      </c>
      <c r="M16" s="266"/>
      <c r="N16" s="266"/>
      <c r="O16" s="419">
        <f>'Задание на ТРУМПФ'!M16</f>
        <v>0</v>
      </c>
      <c r="P16" s="419">
        <f>IF('Исходные данные'!AK25=1,'Исходные данные'!I25/'Исходные данные'!AB25-14,IF('Исходные данные'!AK25=2,'Исходные данные'!I25/'Исходные данные'!AB25-14,IF('Исходные данные'!AK25=3,('Исходные данные'!I25-24)/'Исходные данные'!AB25-8.7,0)))</f>
        <v>0</v>
      </c>
      <c r="Q16" s="419">
        <f>IF('Исходные данные'!AK25=1,'Исходные данные'!J25-11,IF('Исходные данные'!AK25=2,'Исходные данные'!J25-11,IF('Исходные данные'!AK25=3,'Исходные данные'!J25-32,0)))</f>
        <v>0</v>
      </c>
      <c r="R16" s="422">
        <f>IF('Исходные данные'!K25=1,'Задание на ТРУМПФ'!T16,IF('Исходные данные'!K25=2,'Задание на ножницы'!O16,0))</f>
        <v>0</v>
      </c>
      <c r="S16" s="422" t="e">
        <f>#REF!</f>
        <v>#REF!</v>
      </c>
      <c r="T16" s="422">
        <f>IF('Исходные данные'!J25&lt;399,30,IF('Исходные данные'!J25&lt;401,95,IF('Исходные данные'!J25&gt;=450,135,0)))</f>
        <v>30</v>
      </c>
      <c r="U16" s="422">
        <f>'Задание на ТРУМПФ'!U16</f>
        <v>0</v>
      </c>
      <c r="V16" s="422">
        <f>'Задание на ТРУМПФ'!V16</f>
        <v>0</v>
      </c>
      <c r="W16" s="422">
        <f>'Задание на ТРУМПФ'!W16*4</f>
        <v>0</v>
      </c>
      <c r="X16" s="422">
        <f>'Задание на ТРУМПФ'!X16</f>
        <v>0</v>
      </c>
      <c r="Y16" s="422">
        <f>'Задание на ТРУМПФ'!Y16</f>
        <v>0</v>
      </c>
      <c r="Z16" s="422">
        <f>'Задание на ТРУМПФ'!AB16</f>
        <v>0</v>
      </c>
      <c r="AA16" s="422">
        <f>'Задание на ТРУМПФ'!AC16</f>
        <v>0</v>
      </c>
      <c r="AB16" s="422">
        <f>'Задание на ТРУМПФ'!AD16</f>
        <v>0</v>
      </c>
      <c r="AC16" s="422">
        <f>'Задание на ТРУМПФ'!AE16</f>
        <v>0</v>
      </c>
      <c r="AD16" s="422">
        <f>'Задание на ТРУМПФ'!AF16</f>
        <v>0</v>
      </c>
      <c r="AE16" s="422">
        <f>IF('Исходные данные'!K25=1,'Исходные данные'!J25,0)</f>
        <v>0</v>
      </c>
      <c r="AF16" s="422">
        <f>IF('Задание на гибку'!H26&lt;400,30,IF('Задание на гибку'!H26&lt;450,95,IF('Задание на гибку'!H26&lt;=1200,135,0)))</f>
        <v>30</v>
      </c>
      <c r="AG16" s="422">
        <f>'Задание на ТРУМПФ'!AH16</f>
        <v>0</v>
      </c>
      <c r="AH16" s="423">
        <f>IF('Исходные данные'!K25=1,'Исходные данные'!J25,0)</f>
        <v>0</v>
      </c>
      <c r="AI16" s="423">
        <f>'Задание на ТРУМПФ'!AJ16</f>
        <v>0</v>
      </c>
      <c r="AJ16" s="420">
        <f>'Задание на ТРУМПФ'!AK16</f>
        <v>0</v>
      </c>
      <c r="AK16" s="421">
        <f>'Задание на ТРУМПФ'!AL16</f>
        <v>0</v>
      </c>
      <c r="AL16" s="356"/>
      <c r="AN16" s="116">
        <f>IF('Исходные данные'!AK25=1,нормы!$F$5*2,IF('Исходные данные'!AK25=2,нормы!$E$5*2,IF('Исходные данные'!AK25=3,нормы!$B$5*8*2,)))</f>
        <v>0</v>
      </c>
      <c r="AO16" s="4">
        <f>IF('Исходные данные'!AK25=1,нормы!$D$5*2,IF('Исходные данные'!AK25=2,нормы!$G$5*2,IF('Исходные данные'!AK25=3,нормы!$B$5*8*2,0)))</f>
        <v>0</v>
      </c>
      <c r="AP16" s="4">
        <f t="shared" si="1"/>
        <v>0</v>
      </c>
      <c r="AQ16" s="159">
        <f t="shared" si="0"/>
        <v>0</v>
      </c>
      <c r="AS16" s="116">
        <f t="shared" si="2"/>
        <v>0</v>
      </c>
      <c r="AT16" s="101">
        <f>IF(AG16&gt;0,нормы!$C$4*AG16,0)</f>
        <v>0</v>
      </c>
      <c r="AU16" s="101">
        <f>IF(AI16&gt;0,нормы!$E$5*AI16,0)</f>
        <v>0</v>
      </c>
      <c r="AV16" s="284">
        <f>IF(AK16&gt;0,нормы!$C$5*AK16,0)</f>
        <v>0</v>
      </c>
      <c r="AW16" s="331">
        <f>ROUNDDOWN(IF('Исходные данные'!S25="Р",'Исходные данные'!J25/52,0),0)</f>
        <v>0</v>
      </c>
      <c r="AX16" s="331">
        <f>IF('Исходные данные'!I25=0,0,IF('Исходные данные'!I25&lt;1000,AW16+4,IF('Исходные данные'!I25&gt;1000,AW16*2+4,0)))</f>
        <v>0</v>
      </c>
      <c r="AY16" s="375">
        <f>AX16*нормы!$B$5*Y16</f>
        <v>0</v>
      </c>
      <c r="AZ16" s="4">
        <f t="shared" si="3"/>
        <v>0</v>
      </c>
      <c r="BA16" s="284">
        <f>AZ16*нормы!$F$5</f>
        <v>0</v>
      </c>
      <c r="BC16" s="378">
        <f>W16*нормы!$C$5</f>
        <v>0</v>
      </c>
    </row>
    <row r="17" spans="1:55" ht="33" customHeight="1" thickBot="1">
      <c r="B17" s="605"/>
      <c r="C17" s="606" t="s">
        <v>158</v>
      </c>
      <c r="D17" s="607"/>
      <c r="E17" s="116">
        <f t="shared" si="4"/>
        <v>11</v>
      </c>
      <c r="F17" s="487">
        <f>'Исходные данные'!B26</f>
        <v>0</v>
      </c>
      <c r="G17" s="487" t="str">
        <f>'Задание на ТРУМПФ'!G17</f>
        <v>-х  -</v>
      </c>
      <c r="H17" s="487"/>
      <c r="I17" s="487" t="str">
        <f>IF('Исходные данные'!K26=1,"ВГ 199.01.00.001",IF('Исходные данные'!K26=2,"ВГ 199.01.00.008","---"))</f>
        <v>---</v>
      </c>
      <c r="J17" s="487" t="str">
        <f>IF('Исходные данные'!K26=1,"ВГ 199.01.00.002",IF('Исходные данные'!K26=2,"ВГ 199.01.00.007","---"))</f>
        <v>---</v>
      </c>
      <c r="K17" s="415">
        <f>'Задание на ТРУМПФ'!I17</f>
        <v>0</v>
      </c>
      <c r="L17" s="417">
        <f>'Задание на ТРУМПФ'!L17</f>
        <v>0</v>
      </c>
      <c r="M17" s="266"/>
      <c r="N17" s="266"/>
      <c r="O17" s="419">
        <f>'Задание на ТРУМПФ'!M17</f>
        <v>0</v>
      </c>
      <c r="P17" s="419">
        <f>IF('Исходные данные'!AK26=1,'Исходные данные'!I26/'Исходные данные'!AB26-14,IF('Исходные данные'!AK26=2,'Исходные данные'!I26/'Исходные данные'!AB26-14,IF('Исходные данные'!AK26=3,('Исходные данные'!I26-24)/'Исходные данные'!AB26-8.7,0)))</f>
        <v>0</v>
      </c>
      <c r="Q17" s="419">
        <f>IF('Исходные данные'!AK26=1,'Исходные данные'!J26-11,IF('Исходные данные'!AK26=2,'Исходные данные'!J26-11,IF('Исходные данные'!AK26=3,'Исходные данные'!J26-32,0)))</f>
        <v>0</v>
      </c>
      <c r="R17" s="422">
        <f>IF('Исходные данные'!K26=1,'Задание на ТРУМПФ'!T17,IF('Исходные данные'!K26=2,'Задание на ножницы'!O17,0))</f>
        <v>0</v>
      </c>
      <c r="S17" s="422" t="e">
        <f>#REF!</f>
        <v>#REF!</v>
      </c>
      <c r="T17" s="422">
        <f>IF('Исходные данные'!J26&lt;399,30,IF('Исходные данные'!J26&lt;401,95,IF('Исходные данные'!J26&gt;=450,135,0)))</f>
        <v>30</v>
      </c>
      <c r="U17" s="422">
        <f>'Задание на ТРУМПФ'!U17</f>
        <v>0</v>
      </c>
      <c r="V17" s="422">
        <f>'Задание на ТРУМПФ'!V17</f>
        <v>0</v>
      </c>
      <c r="W17" s="422">
        <f>'Задание на ТРУМПФ'!W17*4</f>
        <v>0</v>
      </c>
      <c r="X17" s="422">
        <f>'Задание на ТРУМПФ'!X17</f>
        <v>0</v>
      </c>
      <c r="Y17" s="422">
        <f>'Задание на ТРУМПФ'!Y17</f>
        <v>0</v>
      </c>
      <c r="Z17" s="422">
        <f>'Задание на ТРУМПФ'!AB17</f>
        <v>0</v>
      </c>
      <c r="AA17" s="422">
        <f>'Задание на ТРУМПФ'!AC17</f>
        <v>0</v>
      </c>
      <c r="AB17" s="422">
        <f>'Задание на ТРУМПФ'!AD17</f>
        <v>0</v>
      </c>
      <c r="AC17" s="422">
        <f>'Задание на ТРУМПФ'!AE17</f>
        <v>0</v>
      </c>
      <c r="AD17" s="422">
        <f>'Задание на ТРУМПФ'!AF17</f>
        <v>0</v>
      </c>
      <c r="AE17" s="422">
        <f>IF('Исходные данные'!K26=1,'Исходные данные'!J26,0)</f>
        <v>0</v>
      </c>
      <c r="AF17" s="422">
        <f>IF('Задание на гибку'!H27&lt;400,30,IF('Задание на гибку'!H27&lt;450,95,IF('Задание на гибку'!H27&lt;=1200,135,0)))</f>
        <v>30</v>
      </c>
      <c r="AG17" s="422">
        <f>'Задание на ТРУМПФ'!AH17</f>
        <v>0</v>
      </c>
      <c r="AH17" s="423">
        <f>IF('Исходные данные'!K26=1,'Исходные данные'!J26,0)</f>
        <v>0</v>
      </c>
      <c r="AI17" s="423">
        <f>'Задание на ТРУМПФ'!AJ17</f>
        <v>0</v>
      </c>
      <c r="AJ17" s="420">
        <f>'Задание на ТРУМПФ'!AK17</f>
        <v>0</v>
      </c>
      <c r="AK17" s="421">
        <f>'Задание на ТРУМПФ'!AL17</f>
        <v>0</v>
      </c>
      <c r="AL17" s="356"/>
      <c r="AN17" s="116">
        <f>IF('Исходные данные'!AK26=1,нормы!$F$5*2,IF('Исходные данные'!AK26=2,нормы!$E$5*2,IF('Исходные данные'!AK26=3,нормы!$B$5*8*2,)))</f>
        <v>0</v>
      </c>
      <c r="AO17" s="4">
        <f>IF('Исходные данные'!AK26=1,нормы!$D$5*2,IF('Исходные данные'!AK26=2,нормы!$G$5*2,IF('Исходные данные'!AK26=3,нормы!$B$5*8*2,0)))</f>
        <v>0</v>
      </c>
      <c r="AP17" s="4">
        <f t="shared" si="1"/>
        <v>0</v>
      </c>
      <c r="AQ17" s="159">
        <f t="shared" si="0"/>
        <v>0</v>
      </c>
      <c r="AS17" s="116">
        <f t="shared" si="2"/>
        <v>0</v>
      </c>
      <c r="AT17" s="101">
        <f>IF(AG17&gt;0,нормы!$C$4*AG17,0)</f>
        <v>0</v>
      </c>
      <c r="AU17" s="101">
        <f>IF(AI17&gt;0,нормы!$E$5*AI17,0)</f>
        <v>0</v>
      </c>
      <c r="AV17" s="284">
        <f>IF(AK17&gt;0,нормы!$C$5*AK17,0)</f>
        <v>0</v>
      </c>
      <c r="AW17" s="331">
        <f>ROUNDDOWN(IF('Исходные данные'!S26="Р",'Исходные данные'!J26/52,0),0)</f>
        <v>0</v>
      </c>
      <c r="AX17" s="331">
        <f>IF('Исходные данные'!I26=0,0,IF('Исходные данные'!I26&lt;1000,AW17+4,IF('Исходные данные'!I26&gt;1000,AW17*2+4,0)))</f>
        <v>0</v>
      </c>
      <c r="AY17" s="375">
        <f>AX17*нормы!$B$5*Y17</f>
        <v>0</v>
      </c>
      <c r="AZ17" s="4">
        <f t="shared" si="3"/>
        <v>0</v>
      </c>
      <c r="BA17" s="284">
        <f>AZ17*нормы!$F$5</f>
        <v>0</v>
      </c>
      <c r="BC17" s="378">
        <f>W17*нормы!$C$5</f>
        <v>0</v>
      </c>
    </row>
    <row r="18" spans="1:55" ht="33" customHeight="1" thickBot="1">
      <c r="B18" s="605"/>
      <c r="C18" s="606"/>
      <c r="D18" s="607"/>
      <c r="E18" s="116">
        <f t="shared" si="4"/>
        <v>12</v>
      </c>
      <c r="F18" s="487">
        <f>'Исходные данные'!B27</f>
        <v>0</v>
      </c>
      <c r="G18" s="487" t="str">
        <f>'Задание на ТРУМПФ'!G18</f>
        <v>-х  -</v>
      </c>
      <c r="H18" s="487"/>
      <c r="I18" s="487" t="str">
        <f>IF('Исходные данные'!K27=1,"ВГ 199.01.00.001",IF('Исходные данные'!K27=2,"ВГ 199.01.00.008","---"))</f>
        <v>---</v>
      </c>
      <c r="J18" s="487" t="str">
        <f>IF('Исходные данные'!K27=1,"ВГ 199.01.00.002",IF('Исходные данные'!K27=2,"ВГ 199.01.00.007","---"))</f>
        <v>---</v>
      </c>
      <c r="K18" s="415">
        <f>'Задание на ТРУМПФ'!I18</f>
        <v>0</v>
      </c>
      <c r="L18" s="417">
        <f>'Задание на ТРУМПФ'!L18</f>
        <v>0</v>
      </c>
      <c r="M18" s="266"/>
      <c r="N18" s="266"/>
      <c r="O18" s="419">
        <f>'Задание на ТРУМПФ'!M18</f>
        <v>0</v>
      </c>
      <c r="P18" s="419">
        <f>IF('Исходные данные'!AK27=1,'Исходные данные'!I27/'Исходные данные'!AB27-14,IF('Исходные данные'!AK27=2,'Исходные данные'!I27/'Исходные данные'!AB27-14,IF('Исходные данные'!AK27=3,('Исходные данные'!I27-24)/'Исходные данные'!AB27-8.7,0)))</f>
        <v>0</v>
      </c>
      <c r="Q18" s="419">
        <f>IF('Исходные данные'!AK27=1,'Исходные данные'!J27-11,IF('Исходные данные'!AK27=2,'Исходные данные'!J27-11,IF('Исходные данные'!AK27=3,'Исходные данные'!J27-32,0)))</f>
        <v>0</v>
      </c>
      <c r="R18" s="422">
        <f>IF('Исходные данные'!K27=1,'Задание на ТРУМПФ'!T18,IF('Исходные данные'!K27=2,'Задание на ножницы'!O18,0))</f>
        <v>0</v>
      </c>
      <c r="S18" s="422" t="e">
        <f>#REF!</f>
        <v>#REF!</v>
      </c>
      <c r="T18" s="422">
        <f>IF('Исходные данные'!J27&lt;399,30,IF('Исходные данные'!J27&lt;401,95,IF('Исходные данные'!J27&gt;=450,135,0)))</f>
        <v>30</v>
      </c>
      <c r="U18" s="422">
        <f>'Задание на ТРУМПФ'!U18</f>
        <v>0</v>
      </c>
      <c r="V18" s="422">
        <f>'Задание на ТРУМПФ'!V18</f>
        <v>0</v>
      </c>
      <c r="W18" s="422">
        <f>'Задание на ТРУМПФ'!W18*4</f>
        <v>0</v>
      </c>
      <c r="X18" s="422">
        <f>'Задание на ТРУМПФ'!X18</f>
        <v>0</v>
      </c>
      <c r="Y18" s="422">
        <f>'Задание на ТРУМПФ'!Y18</f>
        <v>0</v>
      </c>
      <c r="Z18" s="422">
        <f>'Задание на ТРУМПФ'!AB18</f>
        <v>0</v>
      </c>
      <c r="AA18" s="422">
        <v>0</v>
      </c>
      <c r="AB18" s="422">
        <f>'Задание на ТРУМПФ'!AD18</f>
        <v>0</v>
      </c>
      <c r="AC18" s="422">
        <v>0</v>
      </c>
      <c r="AD18" s="422">
        <f>'Задание на ТРУМПФ'!AF18</f>
        <v>0</v>
      </c>
      <c r="AE18" s="422">
        <f>IF('Исходные данные'!K27=1,'Исходные данные'!J27,0)</f>
        <v>0</v>
      </c>
      <c r="AF18" s="422">
        <f>IF('Задание на гибку'!H28&lt;400,30,IF('Задание на гибку'!H28&lt;450,95,IF('Задание на гибку'!H28&lt;=1200,135,0)))</f>
        <v>30</v>
      </c>
      <c r="AG18" s="422">
        <f>'Задание на ТРУМПФ'!AH18</f>
        <v>0</v>
      </c>
      <c r="AH18" s="423">
        <f>IF('Исходные данные'!K27=1,'Исходные данные'!J27,0)</f>
        <v>0</v>
      </c>
      <c r="AI18" s="423">
        <f>'Задание на ТРУМПФ'!AJ18</f>
        <v>0</v>
      </c>
      <c r="AJ18" s="420">
        <f>'Задание на ТРУМПФ'!AK18</f>
        <v>0</v>
      </c>
      <c r="AK18" s="421">
        <f>'Задание на ТРУМПФ'!AL18</f>
        <v>0</v>
      </c>
      <c r="AL18" s="356"/>
      <c r="AN18" s="116">
        <f>IF('Исходные данные'!AK27=1,нормы!$F$5*2,IF('Исходные данные'!AK27=2,нормы!$E$5*2,IF('Исходные данные'!AK27=3,нормы!$B$5*8*2,)))</f>
        <v>0</v>
      </c>
      <c r="AO18" s="4">
        <f>IF('Исходные данные'!AK27=1,нормы!$D$5*2,IF('Исходные данные'!AK27=2,нормы!$G$5*2,IF('Исходные данные'!AK27=3,нормы!$B$5*8*2,0)))</f>
        <v>0</v>
      </c>
      <c r="AP18" s="4">
        <f t="shared" si="1"/>
        <v>0</v>
      </c>
      <c r="AQ18" s="159">
        <f t="shared" si="0"/>
        <v>0</v>
      </c>
      <c r="AS18" s="116">
        <f t="shared" si="2"/>
        <v>0</v>
      </c>
      <c r="AT18" s="101">
        <f>IF(AG18&gt;0,нормы!$C$4*AG18,0)</f>
        <v>0</v>
      </c>
      <c r="AU18" s="101">
        <f>IF(AI18&gt;0,нормы!$E$5*AI18,0)</f>
        <v>0</v>
      </c>
      <c r="AV18" s="284">
        <f>IF(AK18&gt;0,нормы!$C$5*AK18,0)</f>
        <v>0</v>
      </c>
      <c r="AW18" s="331">
        <f>ROUNDDOWN(IF('Исходные данные'!S27="Р",'Исходные данные'!J27/52,0),0)</f>
        <v>0</v>
      </c>
      <c r="AX18" s="331">
        <f>IF('Исходные данные'!I27=0,0,IF('Исходные данные'!I27&lt;1000,AW18+4,IF('Исходные данные'!I27&gt;1000,AW18*2+4,0)))</f>
        <v>0</v>
      </c>
      <c r="AY18" s="375">
        <f>AX18*нормы!$B$5*Y18</f>
        <v>0</v>
      </c>
      <c r="AZ18" s="4">
        <f t="shared" si="3"/>
        <v>0</v>
      </c>
      <c r="BA18" s="284">
        <f>AZ18*нормы!$F$5</f>
        <v>0</v>
      </c>
      <c r="BC18" s="378">
        <f>W18*нормы!$C$5</f>
        <v>0</v>
      </c>
    </row>
    <row r="19" spans="1:55" ht="33" customHeight="1" thickBot="1">
      <c r="B19" s="605"/>
      <c r="C19" s="606"/>
      <c r="D19" s="607"/>
      <c r="E19" s="116">
        <f t="shared" si="4"/>
        <v>13</v>
      </c>
      <c r="F19" s="487">
        <f>'Исходные данные'!B28</f>
        <v>0</v>
      </c>
      <c r="G19" s="487" t="str">
        <f>'Задание на ТРУМПФ'!G19</f>
        <v>-х  -</v>
      </c>
      <c r="H19" s="487"/>
      <c r="I19" s="487" t="str">
        <f>IF('Исходные данные'!K28=1,"ВГ 199.01.00.001",IF('Исходные данные'!K28=2,"ВГ 199.01.00.008","---"))</f>
        <v>---</v>
      </c>
      <c r="J19" s="487" t="str">
        <f>IF('Исходные данные'!K28=1,"ВГ 199.01.00.002",IF('Исходные данные'!K28=2,"ВГ 199.01.00.007","---"))</f>
        <v>---</v>
      </c>
      <c r="K19" s="415">
        <f>'Задание на ТРУМПФ'!I19</f>
        <v>0</v>
      </c>
      <c r="L19" s="417">
        <f>'Задание на ТРУМПФ'!L19</f>
        <v>0</v>
      </c>
      <c r="M19" s="266"/>
      <c r="N19" s="266"/>
      <c r="O19" s="419">
        <f>'Задание на ТРУМПФ'!M19</f>
        <v>0</v>
      </c>
      <c r="P19" s="419">
        <f>IF('Исходные данные'!AK28=1,'Исходные данные'!I28/'Исходные данные'!AB28-14,IF('Исходные данные'!AK28=2,'Исходные данные'!I28/'Исходные данные'!AB28-14,IF('Исходные данные'!AK28=3,('Исходные данные'!I28-24)/'Исходные данные'!AB28-8.7,0)))</f>
        <v>0</v>
      </c>
      <c r="Q19" s="419">
        <f>IF('Исходные данные'!AK28=1,'Исходные данные'!J28-11,IF('Исходные данные'!AK28=2,'Исходные данные'!J28-11,IF('Исходные данные'!AK28=3,'Исходные данные'!J28-32,0)))</f>
        <v>0</v>
      </c>
      <c r="R19" s="422">
        <f>IF('Исходные данные'!K28=1,'Задание на ТРУМПФ'!T19,IF('Исходные данные'!K28=2,'Задание на ножницы'!O19,0))</f>
        <v>0</v>
      </c>
      <c r="S19" s="422" t="e">
        <f>#REF!</f>
        <v>#REF!</v>
      </c>
      <c r="T19" s="422">
        <f>IF('Исходные данные'!J28&lt;399,30,IF('Исходные данные'!J28&lt;401,95,IF('Исходные данные'!J28&gt;=450,135,0)))</f>
        <v>30</v>
      </c>
      <c r="U19" s="422">
        <f>'Задание на ТРУМПФ'!U19</f>
        <v>0</v>
      </c>
      <c r="V19" s="422">
        <f>'Задание на ТРУМПФ'!V19</f>
        <v>0</v>
      </c>
      <c r="W19" s="422">
        <f>'Задание на ТРУМПФ'!W19*4</f>
        <v>0</v>
      </c>
      <c r="X19" s="422">
        <f>'Задание на ТРУМПФ'!X19</f>
        <v>0</v>
      </c>
      <c r="Y19" s="422">
        <f>'Задание на ТРУМПФ'!Y19</f>
        <v>0</v>
      </c>
      <c r="Z19" s="422">
        <f>'Задание на ТРУМПФ'!AB19</f>
        <v>0</v>
      </c>
      <c r="AA19" s="422">
        <f>'Задание на ТРУМПФ'!AC19</f>
        <v>0</v>
      </c>
      <c r="AB19" s="422">
        <f>'Задание на ТРУМПФ'!AD19</f>
        <v>0</v>
      </c>
      <c r="AC19" s="422">
        <f>'Задание на ТРУМПФ'!AE19</f>
        <v>0</v>
      </c>
      <c r="AD19" s="422">
        <f>'Задание на ТРУМПФ'!AF19</f>
        <v>0</v>
      </c>
      <c r="AE19" s="422">
        <f>IF('Исходные данные'!K28=1,'Исходные данные'!J28,0)</f>
        <v>0</v>
      </c>
      <c r="AF19" s="422">
        <f>IF('Задание на гибку'!H29&lt;400,30,IF('Задание на гибку'!H29&lt;450,95,IF('Задание на гибку'!H29&lt;=1200,135,0)))</f>
        <v>30</v>
      </c>
      <c r="AG19" s="422">
        <f>'Задание на ТРУМПФ'!AH19</f>
        <v>0</v>
      </c>
      <c r="AH19" s="423">
        <f>IF('Исходные данные'!K28=1,'Исходные данные'!J28,0)</f>
        <v>0</v>
      </c>
      <c r="AI19" s="423">
        <f>'Задание на ТРУМПФ'!AJ19</f>
        <v>0</v>
      </c>
      <c r="AJ19" s="420">
        <f>'Задание на ТРУМПФ'!AK19</f>
        <v>0</v>
      </c>
      <c r="AK19" s="421">
        <f>'Задание на ТРУМПФ'!AL19</f>
        <v>0</v>
      </c>
      <c r="AL19" s="356"/>
      <c r="AN19" s="116">
        <f>IF('Исходные данные'!AK28=1,нормы!$F$5*2,IF('Исходные данные'!AK28=2,нормы!$E$5*2,IF('Исходные данные'!AK28=3,нормы!$B$5*8*2,)))</f>
        <v>0</v>
      </c>
      <c r="AO19" s="4">
        <f>IF('Исходные данные'!AK28=1,нормы!$D$5*2,IF('Исходные данные'!AK28=2,нормы!$G$5*2,IF('Исходные данные'!AK28=3,нормы!$B$5*8*2,0)))</f>
        <v>0</v>
      </c>
      <c r="AP19" s="4">
        <f t="shared" si="1"/>
        <v>0</v>
      </c>
      <c r="AQ19" s="159">
        <f t="shared" si="0"/>
        <v>0</v>
      </c>
      <c r="AS19" s="116">
        <f t="shared" si="2"/>
        <v>0</v>
      </c>
      <c r="AT19" s="101">
        <f>IF(AG19&gt;0,нормы!$C$4*AG19,0)</f>
        <v>0</v>
      </c>
      <c r="AU19" s="101">
        <f>IF(AI19&gt;0,нормы!$E$5*AI19,0)</f>
        <v>0</v>
      </c>
      <c r="AV19" s="284">
        <f>IF(AK19&gt;0,нормы!$C$5*AK19,0)</f>
        <v>0</v>
      </c>
      <c r="AW19" s="331">
        <f>ROUNDDOWN(IF('Исходные данные'!S28="Р",'Исходные данные'!J28/52,0),0)</f>
        <v>0</v>
      </c>
      <c r="AX19" s="331">
        <f>IF('Исходные данные'!I28=0,0,IF('Исходные данные'!I28&lt;1000,AW19+4,IF('Исходные данные'!I28&gt;1000,AW19*2+4,0)))</f>
        <v>0</v>
      </c>
      <c r="AY19" s="375">
        <f>AX19*нормы!$B$5*Y19</f>
        <v>0</v>
      </c>
      <c r="AZ19" s="4">
        <f t="shared" si="3"/>
        <v>0</v>
      </c>
      <c r="BA19" s="284">
        <f>AZ19*нормы!$F$5</f>
        <v>0</v>
      </c>
      <c r="BC19" s="378">
        <f>W19*нормы!$C$5</f>
        <v>0</v>
      </c>
    </row>
    <row r="20" spans="1:55" ht="33" customHeight="1" thickBot="1">
      <c r="B20" s="605"/>
      <c r="C20" s="606"/>
      <c r="D20" s="607"/>
      <c r="E20" s="116">
        <f t="shared" si="4"/>
        <v>14</v>
      </c>
      <c r="F20" s="487">
        <f>'Исходные данные'!B29</f>
        <v>0</v>
      </c>
      <c r="G20" s="487" t="str">
        <f>'Задание на ТРУМПФ'!G20</f>
        <v>-х  -</v>
      </c>
      <c r="H20" s="487"/>
      <c r="I20" s="487" t="str">
        <f>IF('Исходные данные'!K29=1,"ВГ 199.01.00.001",IF('Исходные данные'!K29=2,"ВГ 199.01.00.008","---"))</f>
        <v>---</v>
      </c>
      <c r="J20" s="487" t="str">
        <f>IF('Исходные данные'!K29=1,"ВГ 199.01.00.002",IF('Исходные данные'!K29=2,"ВГ 199.01.00.007","---"))</f>
        <v>---</v>
      </c>
      <c r="K20" s="415">
        <f>'Задание на ТРУМПФ'!I20</f>
        <v>0</v>
      </c>
      <c r="L20" s="417">
        <f>'Задание на ТРУМПФ'!L20</f>
        <v>0</v>
      </c>
      <c r="M20" s="266"/>
      <c r="N20" s="266"/>
      <c r="O20" s="419">
        <f>'Задание на ТРУМПФ'!M20</f>
        <v>0</v>
      </c>
      <c r="P20" s="419">
        <f>IF('Исходные данные'!AK29=1,'Исходные данные'!I29/'Исходные данные'!AB29-14,IF('Исходные данные'!AK29=2,'Исходные данные'!I29/'Исходные данные'!AB29-14,IF('Исходные данные'!AK29=3,('Исходные данные'!I29-24)/'Исходные данные'!AB29-8.7,0)))</f>
        <v>0</v>
      </c>
      <c r="Q20" s="419">
        <f>IF('Исходные данные'!AK29=1,'Исходные данные'!J29-11,IF('Исходные данные'!AK29=2,'Исходные данные'!J29-11,IF('Исходные данные'!AK29=3,'Исходные данные'!J29-32,0)))</f>
        <v>0</v>
      </c>
      <c r="R20" s="422">
        <f>IF('Исходные данные'!K29=1,'Задание на ТРУМПФ'!T20,IF('Исходные данные'!K29=2,'Задание на ножницы'!O20,0))</f>
        <v>0</v>
      </c>
      <c r="S20" s="422" t="e">
        <f>#REF!</f>
        <v>#REF!</v>
      </c>
      <c r="T20" s="422">
        <f>IF('Исходные данные'!J29&lt;399,30,IF('Исходные данные'!J29&lt;401,95,IF('Исходные данные'!J29&gt;=450,135,0)))</f>
        <v>30</v>
      </c>
      <c r="U20" s="422">
        <f>'Задание на ТРУМПФ'!U20</f>
        <v>0</v>
      </c>
      <c r="V20" s="422">
        <f>'Задание на ТРУМПФ'!V20</f>
        <v>0</v>
      </c>
      <c r="W20" s="422">
        <f>'Задание на ТРУМПФ'!W20*4</f>
        <v>0</v>
      </c>
      <c r="X20" s="422">
        <f>'Задание на ТРУМПФ'!X20</f>
        <v>0</v>
      </c>
      <c r="Y20" s="422">
        <f>'Задание на ТРУМПФ'!Y20</f>
        <v>0</v>
      </c>
      <c r="Z20" s="422">
        <f>'Задание на ТРУМПФ'!AB20</f>
        <v>0</v>
      </c>
      <c r="AA20" s="422">
        <f>'Задание на ТРУМПФ'!AC20</f>
        <v>0</v>
      </c>
      <c r="AB20" s="422">
        <f>'Задание на ТРУМПФ'!AD20</f>
        <v>0</v>
      </c>
      <c r="AC20" s="422">
        <f>'Задание на ТРУМПФ'!AE20</f>
        <v>0</v>
      </c>
      <c r="AD20" s="422">
        <f>'Задание на ТРУМПФ'!AF20</f>
        <v>0</v>
      </c>
      <c r="AE20" s="422">
        <f>IF('Исходные данные'!K29=1,'Исходные данные'!J29,0)</f>
        <v>0</v>
      </c>
      <c r="AF20" s="422">
        <f>IF('Задание на гибку'!H30&lt;400,30,IF('Задание на гибку'!H30&lt;450,95,IF('Задание на гибку'!H30&lt;=1200,135,0)))</f>
        <v>30</v>
      </c>
      <c r="AG20" s="422">
        <f>'Задание на ТРУМПФ'!AH20</f>
        <v>0</v>
      </c>
      <c r="AH20" s="423">
        <f>IF('Исходные данные'!K29=1,'Исходные данные'!J29,0)</f>
        <v>0</v>
      </c>
      <c r="AI20" s="423">
        <f>'Задание на ТРУМПФ'!AJ20</f>
        <v>0</v>
      </c>
      <c r="AJ20" s="420">
        <f>'Задание на ТРУМПФ'!AK20</f>
        <v>0</v>
      </c>
      <c r="AK20" s="421">
        <f>'Задание на ТРУМПФ'!AL20</f>
        <v>0</v>
      </c>
      <c r="AL20" s="356"/>
      <c r="AN20" s="116">
        <f>IF('Исходные данные'!AK29=1,нормы!$F$5*2,IF('Исходные данные'!AK29=2,нормы!$E$5*2,IF('Исходные данные'!AK29=3,нормы!$B$5*8*2,)))</f>
        <v>0</v>
      </c>
      <c r="AO20" s="4">
        <f>IF('Исходные данные'!AK29=1,нормы!$D$5*2,IF('Исходные данные'!AK29=2,нормы!$G$5*2,IF('Исходные данные'!AK29=3,нормы!$B$5*8*2,0)))</f>
        <v>0</v>
      </c>
      <c r="AP20" s="4">
        <f t="shared" si="1"/>
        <v>0</v>
      </c>
      <c r="AQ20" s="159">
        <f t="shared" si="0"/>
        <v>0</v>
      </c>
      <c r="AS20" s="116">
        <f t="shared" si="2"/>
        <v>0</v>
      </c>
      <c r="AT20" s="101">
        <f>IF(AG20&gt;0,нормы!$C$4*AG20,0)</f>
        <v>0</v>
      </c>
      <c r="AU20" s="101">
        <f>IF(AI20&gt;0,нормы!$E$5*AI20,0)</f>
        <v>0</v>
      </c>
      <c r="AV20" s="284">
        <f>IF(AK20&gt;0,нормы!$C$5*AK20,0)</f>
        <v>0</v>
      </c>
      <c r="AW20" s="331">
        <f>ROUNDDOWN(IF('Исходные данные'!S29="Р",'Исходные данные'!J29/52,0),0)</f>
        <v>0</v>
      </c>
      <c r="AX20" s="331">
        <f>IF('Исходные данные'!I29=0,0,IF('Исходные данные'!I29&lt;1000,AW20+4,IF('Исходные данные'!I29&gt;1000,AW20*2+4,0)))</f>
        <v>0</v>
      </c>
      <c r="AY20" s="375">
        <f>AX20*нормы!$B$5*Y20</f>
        <v>0</v>
      </c>
      <c r="AZ20" s="4">
        <f t="shared" si="3"/>
        <v>0</v>
      </c>
      <c r="BA20" s="284">
        <f>AZ20*нормы!$F$5</f>
        <v>0</v>
      </c>
      <c r="BC20" s="378">
        <f>W20*нормы!$C$5</f>
        <v>0</v>
      </c>
    </row>
    <row r="21" spans="1:55" ht="33" customHeight="1" thickBot="1">
      <c r="B21" s="605"/>
      <c r="C21" s="606"/>
      <c r="D21" s="607"/>
      <c r="E21" s="125">
        <f t="shared" si="4"/>
        <v>15</v>
      </c>
      <c r="F21" s="267">
        <f>'Исходные данные'!B30</f>
        <v>0</v>
      </c>
      <c r="G21" s="267" t="str">
        <f>'Задание на ТРУМПФ'!G21</f>
        <v>-х  -</v>
      </c>
      <c r="H21" s="267"/>
      <c r="I21" s="267" t="str">
        <f>IF('Исходные данные'!K30=1,"ВГ 199.01.00.001",IF('Исходные данные'!K30=2,"ВГ 199.01.00.008","---"))</f>
        <v>---</v>
      </c>
      <c r="J21" s="267" t="str">
        <f>IF('Исходные данные'!K30=1,"ВГ 199.01.00.002",IF('Исходные данные'!K30=2,"ВГ 199.01.00.007","---"))</f>
        <v>---</v>
      </c>
      <c r="K21" s="415">
        <f>'Задание на ТРУМПФ'!I21</f>
        <v>0</v>
      </c>
      <c r="L21" s="418">
        <f>'Задание на ТРУМПФ'!L21</f>
        <v>0</v>
      </c>
      <c r="M21" s="268"/>
      <c r="N21" s="268"/>
      <c r="O21" s="419">
        <f>'Задание на ТРУМПФ'!M21</f>
        <v>0</v>
      </c>
      <c r="P21" s="419">
        <f>IF('Исходные данные'!AK30=1,'Исходные данные'!I30/'Исходные данные'!AB30-14,IF('Исходные данные'!AK30=2,'Исходные данные'!I30/'Исходные данные'!AB30-14,IF('Исходные данные'!AK30=3,('Исходные данные'!I30-24)/'Исходные данные'!AB30-8.7,0)))</f>
        <v>0</v>
      </c>
      <c r="Q21" s="419">
        <f>IF('Исходные данные'!AK30=1,'Исходные данные'!J30-11,IF('Исходные данные'!AK30=2,'Исходные данные'!J30-11,IF('Исходные данные'!AK30=3,'Исходные данные'!J30-32,0)))</f>
        <v>0</v>
      </c>
      <c r="R21" s="424">
        <v>0</v>
      </c>
      <c r="S21" s="424" t="e">
        <f>#REF!</f>
        <v>#REF!</v>
      </c>
      <c r="T21" s="424">
        <f>IF('Исходные данные'!J30&lt;399,30,IF('Исходные данные'!J30&lt;401,95,IF('Исходные данные'!J30&gt;=450,135,0)))</f>
        <v>30</v>
      </c>
      <c r="U21" s="424">
        <f>'Задание на ТРУМПФ'!U21</f>
        <v>0</v>
      </c>
      <c r="V21" s="424">
        <f>'Задание на ТРУМПФ'!V21</f>
        <v>0</v>
      </c>
      <c r="W21" s="424">
        <f>'Задание на ТРУМПФ'!W21*4</f>
        <v>0</v>
      </c>
      <c r="X21" s="424">
        <f>'Задание на ТРУМПФ'!X21</f>
        <v>0</v>
      </c>
      <c r="Y21" s="424">
        <f>'Задание на ТРУМПФ'!Y21</f>
        <v>0</v>
      </c>
      <c r="Z21" s="424">
        <f>'Задание на ТРУМПФ'!AB21</f>
        <v>0</v>
      </c>
      <c r="AA21" s="424">
        <f>'Задание на ТРУМПФ'!AC21</f>
        <v>0</v>
      </c>
      <c r="AB21" s="424">
        <f>'Задание на ТРУМПФ'!AD21</f>
        <v>0</v>
      </c>
      <c r="AC21" s="424">
        <f>'Задание на ТРУМПФ'!AE21</f>
        <v>0</v>
      </c>
      <c r="AD21" s="424">
        <f>'Задание на ТРУМПФ'!AF21</f>
        <v>0</v>
      </c>
      <c r="AE21" s="424">
        <f>IF('Исходные данные'!K30=1,'Исходные данные'!J30,0)</f>
        <v>0</v>
      </c>
      <c r="AF21" s="424">
        <f>IF('Задание на гибку'!H32&lt;400,30,IF('Задание на гибку'!H32&lt;450,95,IF('Задание на гибку'!H32&lt;=1200,135,0)))</f>
        <v>30</v>
      </c>
      <c r="AG21" s="424">
        <f>'Задание на ТРУМПФ'!AH21</f>
        <v>0</v>
      </c>
      <c r="AH21" s="425">
        <f>IF('Исходные данные'!K30=1,'Исходные данные'!J30,0)</f>
        <v>0</v>
      </c>
      <c r="AI21" s="425">
        <f>'Задание на ТРУМПФ'!AJ21</f>
        <v>0</v>
      </c>
      <c r="AJ21" s="420">
        <f>'Задание на ТРУМПФ'!AK21</f>
        <v>0</v>
      </c>
      <c r="AK21" s="421">
        <f>'Задание на ТРУМПФ'!AL21</f>
        <v>0</v>
      </c>
      <c r="AL21" s="356"/>
      <c r="AN21" s="125">
        <f>IF('Исходные данные'!AK30=1,нормы!$F$5*2,IF('Исходные данные'!AK30=2,нормы!$E$5*2,IF('Исходные данные'!AK30=3,нормы!$B$5*8*2,)))</f>
        <v>0</v>
      </c>
      <c r="AO21" s="126">
        <f>IF('Исходные данные'!AK30=1,нормы!$D$5*2,IF('Исходные данные'!AK30=2,нормы!$G$5*2,IF('Исходные данные'!AK30=3,нормы!$B$5*8*2,0)))</f>
        <v>0</v>
      </c>
      <c r="AP21" s="126">
        <f t="shared" si="1"/>
        <v>0</v>
      </c>
      <c r="AQ21" s="160">
        <f t="shared" si="0"/>
        <v>0</v>
      </c>
      <c r="AS21" s="125">
        <f t="shared" si="2"/>
        <v>0</v>
      </c>
      <c r="AT21" s="350">
        <f>IF(AG21&gt;0,нормы!$C$4*AG21,0)</f>
        <v>0</v>
      </c>
      <c r="AU21" s="350">
        <f>IF(AI21&gt;0,нормы!$E$5*AI21,0)</f>
        <v>0</v>
      </c>
      <c r="AV21" s="284">
        <f>IF(AK21&gt;0,нормы!$C$5*AK21,0)</f>
        <v>0</v>
      </c>
      <c r="AW21" s="351">
        <f>ROUNDDOWN(IF('Исходные данные'!S30="Р",'Исходные данные'!J30/52,0),0)</f>
        <v>0</v>
      </c>
      <c r="AX21" s="351">
        <f>IF('Исходные данные'!I30=0,0,IF('Исходные данные'!I30&lt;1000,AW21+4,IF('Исходные данные'!I30&gt;1000,AW21*2+4,0)))</f>
        <v>0</v>
      </c>
      <c r="AY21" s="376">
        <f>AX21*нормы!$B$5*Y21</f>
        <v>0</v>
      </c>
      <c r="AZ21" s="126">
        <f t="shared" si="3"/>
        <v>0</v>
      </c>
      <c r="BA21" s="284">
        <f>AZ21*нормы!$F$5</f>
        <v>0</v>
      </c>
      <c r="BC21" s="367">
        <f>W21*нормы!$C$5</f>
        <v>0</v>
      </c>
    </row>
    <row r="22" spans="1:55" ht="24" hidden="1" thickBot="1">
      <c r="B22" s="605"/>
      <c r="C22" s="606"/>
      <c r="D22" s="607"/>
      <c r="E22" s="253">
        <f t="shared" si="4"/>
        <v>16</v>
      </c>
      <c r="F22" s="174"/>
      <c r="G22" s="174"/>
      <c r="H22" s="174"/>
      <c r="I22" s="174"/>
      <c r="J22" s="174"/>
      <c r="K22" s="175" t="e">
        <f>'Задание на ТРУМПФ'!I22</f>
        <v>#REF!</v>
      </c>
      <c r="L22" s="176" t="e">
        <f>'Задание на ТРУМПФ'!L22</f>
        <v>#REF!</v>
      </c>
      <c r="M22" s="118"/>
      <c r="N22" s="118"/>
      <c r="O22" s="150" t="e">
        <f>'Исходные данные'!#REF!</f>
        <v>#REF!</v>
      </c>
      <c r="P22" s="118"/>
      <c r="Q22" s="419">
        <f>IF('Исходные данные'!AI31=1,'Исходные данные'!J31-11,IF('Исходные данные'!AI31=2,'Исходные данные'!J31-11,IF('Исходные данные'!AI31=3,'Исходные данные'!J31-32,0)))</f>
        <v>0</v>
      </c>
      <c r="R22" s="118"/>
      <c r="S22" s="118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1"/>
      <c r="AH22" s="121"/>
      <c r="AI22" s="121"/>
      <c r="AJ22" s="121"/>
      <c r="AK22" s="121"/>
      <c r="AL22" s="330"/>
      <c r="AZ22" s="174">
        <f t="shared" si="3"/>
        <v>0</v>
      </c>
      <c r="BA22" s="174"/>
    </row>
    <row r="23" spans="1:55" ht="24" hidden="1" thickBot="1">
      <c r="B23" s="605"/>
      <c r="C23" s="606"/>
      <c r="D23" s="607"/>
      <c r="E23" s="116">
        <f t="shared" si="4"/>
        <v>17</v>
      </c>
      <c r="F23" s="4"/>
      <c r="G23" s="4"/>
      <c r="H23" s="4"/>
      <c r="I23" s="4"/>
      <c r="J23" s="4"/>
      <c r="K23" s="175">
        <f>'Задание на ТРУМПФ'!I23</f>
        <v>0</v>
      </c>
      <c r="L23" s="176">
        <f>'Задание на ТРУМПФ'!L23</f>
        <v>0</v>
      </c>
      <c r="M23" s="118"/>
      <c r="N23" s="118"/>
      <c r="O23" s="150">
        <f>'Исходные данные'!U31</f>
        <v>0</v>
      </c>
      <c r="P23" s="118"/>
      <c r="Q23" s="419">
        <f>IF('Исходные данные'!AI32=1,'Исходные данные'!J32-11,IF('Исходные данные'!AI32=2,'Исходные данные'!J32-11,IF('Исходные данные'!AI32=3,'Исходные данные'!J32-32,0)))</f>
        <v>0</v>
      </c>
      <c r="R23" s="118"/>
      <c r="S23" s="118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4"/>
      <c r="AH23" s="121"/>
      <c r="AI23" s="121"/>
      <c r="AJ23" s="121"/>
      <c r="AK23" s="121"/>
      <c r="AL23" s="330"/>
      <c r="AZ23" s="284">
        <f t="shared" si="3"/>
        <v>0</v>
      </c>
      <c r="BA23" s="4"/>
    </row>
    <row r="24" spans="1:55" ht="24" hidden="1" thickBot="1">
      <c r="B24" s="605"/>
      <c r="C24" s="606"/>
      <c r="D24" s="607"/>
      <c r="E24" s="116">
        <f t="shared" si="4"/>
        <v>18</v>
      </c>
      <c r="F24" s="4"/>
      <c r="G24" s="4"/>
      <c r="H24" s="4"/>
      <c r="I24" s="4"/>
      <c r="J24" s="4"/>
      <c r="K24" s="175">
        <f>'Задание на ТРУМПФ'!I24</f>
        <v>0</v>
      </c>
      <c r="L24" s="176">
        <f>'Задание на ТРУМПФ'!L24</f>
        <v>0</v>
      </c>
      <c r="M24" s="118"/>
      <c r="N24" s="118"/>
      <c r="O24" s="150">
        <f>'Исходные данные'!U32</f>
        <v>0</v>
      </c>
      <c r="P24" s="118"/>
      <c r="Q24" s="419">
        <f>IF('Исходные данные'!AI33=1,'Исходные данные'!J33-11,IF('Исходные данные'!AI33=2,'Исходные данные'!J33-11,IF('Исходные данные'!AI33=3,'Исходные данные'!J33-32,0)))</f>
        <v>0</v>
      </c>
      <c r="R24" s="118"/>
      <c r="S24" s="118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4"/>
      <c r="AH24" s="121"/>
      <c r="AI24" s="121"/>
      <c r="AJ24" s="121"/>
      <c r="AK24" s="121"/>
      <c r="AL24" s="330"/>
      <c r="AZ24" s="284">
        <f t="shared" si="3"/>
        <v>0</v>
      </c>
      <c r="BA24" s="4"/>
    </row>
    <row r="25" spans="1:55" ht="24" hidden="1" thickBot="1">
      <c r="B25" s="605"/>
      <c r="C25" s="606"/>
      <c r="D25" s="607"/>
      <c r="E25" s="116">
        <f>E24+1</f>
        <v>19</v>
      </c>
      <c r="F25" s="4"/>
      <c r="G25" s="4"/>
      <c r="H25" s="4"/>
      <c r="I25" s="4"/>
      <c r="J25" s="4"/>
      <c r="K25" s="175">
        <f>'Задание на ТРУМПФ'!I25</f>
        <v>0</v>
      </c>
      <c r="L25" s="176">
        <f>'Задание на ТРУМПФ'!L25</f>
        <v>0</v>
      </c>
      <c r="M25" s="118"/>
      <c r="N25" s="118"/>
      <c r="O25" s="150">
        <f>'Исходные данные'!U33</f>
        <v>0</v>
      </c>
      <c r="P25" s="118"/>
      <c r="Q25" s="419">
        <f>IF('Исходные данные'!AI34=1,'Исходные данные'!J34-11,IF('Исходные данные'!AI34=2,'Исходные данные'!J34-11,IF('Исходные данные'!AI34=3,'Исходные данные'!J34-32,0)))</f>
        <v>0</v>
      </c>
      <c r="R25" s="118"/>
      <c r="S25" s="118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4"/>
      <c r="AH25" s="121"/>
      <c r="AI25" s="121"/>
      <c r="AJ25" s="121"/>
      <c r="AK25" s="121"/>
      <c r="AL25" s="330"/>
      <c r="AZ25" s="284">
        <f t="shared" si="3"/>
        <v>0</v>
      </c>
      <c r="BA25" s="4"/>
    </row>
    <row r="26" spans="1:55" ht="24" hidden="1" thickBot="1">
      <c r="A26" s="604" t="str">
        <f>E2</f>
        <v xml:space="preserve">Участок TruBend </v>
      </c>
      <c r="B26" s="605"/>
      <c r="C26" s="606"/>
      <c r="D26" s="607"/>
      <c r="E26" s="116">
        <f>E25+1</f>
        <v>20</v>
      </c>
      <c r="F26" s="4"/>
      <c r="G26" s="4"/>
      <c r="H26" s="4"/>
      <c r="I26" s="4"/>
      <c r="J26" s="4"/>
      <c r="K26" s="175">
        <f>'Задание на ТРУМПФ'!I26</f>
        <v>0</v>
      </c>
      <c r="L26" s="176">
        <f>'Задание на ТРУМПФ'!L26</f>
        <v>0</v>
      </c>
      <c r="M26" s="118"/>
      <c r="N26" s="118"/>
      <c r="O26" s="150">
        <f>'Исходные данные'!U34</f>
        <v>0</v>
      </c>
      <c r="P26" s="118"/>
      <c r="Q26" s="419">
        <f>IF('Исходные данные'!AI35=1,'Исходные данные'!J35-11,IF('Исходные данные'!AI35=2,'Исходные данные'!J35-11,IF('Исходные данные'!AI35=3,'Исходные данные'!J35-32,0)))</f>
        <v>0</v>
      </c>
      <c r="R26" s="118"/>
      <c r="S26" s="118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4"/>
      <c r="AH26" s="121"/>
      <c r="AI26" s="121"/>
      <c r="AJ26" s="121"/>
      <c r="AK26" s="121"/>
      <c r="AL26" s="330"/>
      <c r="AZ26" s="284">
        <f t="shared" si="3"/>
        <v>0</v>
      </c>
      <c r="BA26" s="4"/>
    </row>
    <row r="27" spans="1:55" ht="24" hidden="1" thickBot="1">
      <c r="A27" s="604"/>
      <c r="B27" s="605"/>
      <c r="C27" s="606"/>
      <c r="D27" s="607"/>
      <c r="E27" s="125">
        <f>E26+1</f>
        <v>21</v>
      </c>
      <c r="F27" s="126"/>
      <c r="G27" s="126"/>
      <c r="H27" s="126"/>
      <c r="I27" s="126"/>
      <c r="J27" s="126"/>
      <c r="K27" s="175">
        <f>'Задание на ТРУМПФ'!I27</f>
        <v>0</v>
      </c>
      <c r="L27" s="176">
        <f>'Задание на ТРУМПФ'!L27</f>
        <v>0</v>
      </c>
      <c r="M27" s="128"/>
      <c r="N27" s="118"/>
      <c r="O27" s="275">
        <f>'Исходные данные'!U35</f>
        <v>0</v>
      </c>
      <c r="P27" s="118"/>
      <c r="Q27" s="419">
        <f>IF('Исходные данные'!AI36=1,'Исходные данные'!J36-11,IF('Исходные данные'!AI36=2,'Исходные данные'!J36-11,IF('Исходные данные'!AI36=3,'Исходные данные'!J36-32,0)))</f>
        <v>0</v>
      </c>
      <c r="R27" s="128"/>
      <c r="S27" s="118"/>
      <c r="T27" s="120"/>
      <c r="U27" s="120"/>
      <c r="V27" s="120"/>
      <c r="W27" s="153"/>
      <c r="X27" s="120"/>
      <c r="Y27" s="153"/>
      <c r="Z27" s="120"/>
      <c r="AA27" s="120"/>
      <c r="AB27" s="120"/>
      <c r="AC27" s="153"/>
      <c r="AD27" s="153"/>
      <c r="AE27" s="120"/>
      <c r="AF27" s="153"/>
      <c r="AG27" s="129"/>
      <c r="AH27" s="121"/>
      <c r="AI27" s="130"/>
      <c r="AJ27" s="121"/>
      <c r="AK27" s="264"/>
      <c r="AL27" s="330"/>
      <c r="AZ27" s="284">
        <f t="shared" si="3"/>
        <v>0</v>
      </c>
      <c r="BA27" s="327"/>
    </row>
    <row r="28" spans="1:55" ht="19.5" thickBot="1">
      <c r="A28" s="604"/>
      <c r="B28" s="605"/>
      <c r="C28" s="606"/>
      <c r="D28" s="607"/>
      <c r="O28" s="276">
        <f>AS52</f>
        <v>0</v>
      </c>
      <c r="R28" s="276">
        <f>AS28</f>
        <v>0</v>
      </c>
      <c r="T28" s="131"/>
      <c r="U28" s="131"/>
      <c r="V28" s="131"/>
      <c r="W28" s="276">
        <f>BC28</f>
        <v>0</v>
      </c>
      <c r="X28" s="368"/>
      <c r="Y28" s="371">
        <f>AY28</f>
        <v>0</v>
      </c>
      <c r="Z28" s="368"/>
      <c r="AA28" s="368"/>
      <c r="AB28" s="368"/>
      <c r="AC28" s="276">
        <f>BA28</f>
        <v>0</v>
      </c>
      <c r="AD28" s="413"/>
      <c r="AE28" s="131"/>
      <c r="AF28" s="131"/>
      <c r="AG28" s="276">
        <f>AT28</f>
        <v>0</v>
      </c>
      <c r="AH28" s="131"/>
      <c r="AI28" s="276">
        <f>AU28</f>
        <v>0</v>
      </c>
      <c r="AJ28" s="131"/>
      <c r="AK28" s="276">
        <f>AV28</f>
        <v>0</v>
      </c>
      <c r="AL28" s="357"/>
      <c r="AQ28" s="336">
        <f>SUM(AQ7:AQ27)</f>
        <v>0</v>
      </c>
      <c r="AS28" s="336">
        <f>SUM(AS7:AS27)</f>
        <v>0</v>
      </c>
      <c r="AT28" s="336">
        <f>SUM(AT7:AT27)</f>
        <v>0</v>
      </c>
      <c r="AU28" s="336">
        <f>SUM(AU7:AU21)</f>
        <v>0</v>
      </c>
      <c r="AV28" s="336">
        <f>SUM(AV7:AV21)</f>
        <v>0</v>
      </c>
      <c r="AY28" s="370">
        <f>SUM(AY7:AY27)</f>
        <v>0</v>
      </c>
      <c r="AZ28" s="337"/>
      <c r="BA28" s="336">
        <f>SUM(BA7:BA27)</f>
        <v>0</v>
      </c>
      <c r="BC28" s="372">
        <f>SUM(BC7:BC27)</f>
        <v>0</v>
      </c>
    </row>
    <row r="29" spans="1:55" ht="15.75" thickBot="1">
      <c r="A29" s="604"/>
      <c r="B29" s="605"/>
      <c r="C29" s="606"/>
      <c r="D29" s="607"/>
      <c r="E29" s="626"/>
      <c r="F29" s="626"/>
      <c r="G29" s="626"/>
      <c r="H29" s="626"/>
      <c r="I29" s="626"/>
      <c r="J29" s="626"/>
      <c r="K29" s="626"/>
      <c r="L29" s="626"/>
      <c r="M29" s="626"/>
      <c r="N29" s="626"/>
      <c r="O29" s="626"/>
      <c r="P29" s="626"/>
      <c r="Q29" s="626"/>
      <c r="R29" s="626"/>
      <c r="S29" s="626"/>
      <c r="T29" s="171"/>
      <c r="U29" s="483"/>
      <c r="V29" s="358"/>
      <c r="W29" s="358"/>
      <c r="X29" s="358"/>
      <c r="Y29" s="358"/>
      <c r="Z29" s="358"/>
      <c r="AA29" s="358"/>
      <c r="AB29" s="358"/>
      <c r="AC29" s="358"/>
      <c r="AD29" s="405"/>
      <c r="AE29" s="626"/>
      <c r="AF29" s="626"/>
      <c r="AG29" s="626"/>
      <c r="AH29" s="626"/>
      <c r="AI29" s="626"/>
      <c r="AJ29" s="132"/>
      <c r="AL29" s="353"/>
    </row>
    <row r="30" spans="1:55" ht="16.5" thickBot="1">
      <c r="A30" s="604"/>
      <c r="B30" s="605"/>
      <c r="C30" s="606"/>
      <c r="D30" s="607"/>
      <c r="E30" s="666"/>
      <c r="F30" s="666"/>
      <c r="G30" s="666"/>
      <c r="H30" s="666"/>
      <c r="I30" s="666"/>
      <c r="J30" s="666"/>
      <c r="K30" s="666"/>
      <c r="L30" s="666"/>
      <c r="M30" s="666"/>
      <c r="N30" s="666"/>
      <c r="O30" s="666"/>
      <c r="P30" s="666"/>
      <c r="Q30" s="666"/>
      <c r="R30" s="666"/>
      <c r="S30" s="666"/>
      <c r="T30" s="173"/>
      <c r="U30" s="482"/>
      <c r="V30" s="260"/>
      <c r="W30" s="260"/>
      <c r="X30" s="260"/>
      <c r="Y30" s="260"/>
      <c r="Z30" s="260"/>
      <c r="AA30" s="260"/>
      <c r="AB30" s="260"/>
      <c r="AC30" s="260"/>
      <c r="AD30" s="260"/>
      <c r="AE30" s="665"/>
      <c r="AF30" s="665"/>
      <c r="AG30" s="665"/>
      <c r="AH30" s="134"/>
      <c r="AI30" s="133"/>
      <c r="AJ30" s="133"/>
      <c r="AN30" s="676" t="s">
        <v>347</v>
      </c>
      <c r="AO30" s="677"/>
      <c r="AR30" s="678" t="s">
        <v>348</v>
      </c>
      <c r="AS30" s="679"/>
      <c r="AV30" s="678" t="s">
        <v>349</v>
      </c>
      <c r="AW30" s="679"/>
    </row>
    <row r="31" spans="1:55" ht="16.5" thickBot="1">
      <c r="A31" s="604"/>
      <c r="B31" s="605"/>
      <c r="C31" s="606"/>
      <c r="D31" s="607"/>
      <c r="E31" s="518"/>
      <c r="F31" s="518"/>
      <c r="G31" s="518"/>
      <c r="H31" s="518"/>
      <c r="I31" s="518"/>
      <c r="J31" s="518"/>
      <c r="K31" s="518"/>
      <c r="L31" s="518"/>
      <c r="M31" s="518"/>
      <c r="N31" s="518"/>
      <c r="O31" s="518"/>
      <c r="P31" s="518"/>
      <c r="Q31" s="518"/>
      <c r="R31" s="518"/>
      <c r="S31" s="518"/>
      <c r="T31" s="516"/>
      <c r="U31" s="516"/>
      <c r="V31" s="516"/>
      <c r="W31" s="516"/>
      <c r="X31" s="516"/>
      <c r="Y31" s="516"/>
      <c r="Z31" s="516"/>
      <c r="AA31" s="516"/>
      <c r="AB31" s="516"/>
      <c r="AC31" s="516"/>
      <c r="AD31" s="516"/>
      <c r="AE31" s="517"/>
      <c r="AF31" s="517"/>
      <c r="AG31" s="517"/>
      <c r="AH31" s="517"/>
      <c r="AI31" s="133"/>
      <c r="AJ31" s="133"/>
      <c r="AN31" s="520" t="s">
        <v>345</v>
      </c>
      <c r="AO31" s="520" t="s">
        <v>346</v>
      </c>
      <c r="AR31" s="522" t="s">
        <v>155</v>
      </c>
      <c r="AS31" s="522" t="s">
        <v>156</v>
      </c>
      <c r="AV31" s="522" t="s">
        <v>155</v>
      </c>
      <c r="AW31" s="522" t="s">
        <v>156</v>
      </c>
    </row>
    <row r="32" spans="1:55" ht="28.5">
      <c r="A32" s="604"/>
      <c r="B32" s="605"/>
      <c r="C32" s="606"/>
      <c r="D32" s="607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4"/>
      <c r="P32" s="664"/>
      <c r="Q32" s="664"/>
      <c r="R32" s="664"/>
      <c r="S32" s="664"/>
      <c r="T32" s="173"/>
      <c r="U32" s="482"/>
      <c r="V32" s="260"/>
      <c r="W32" s="260"/>
      <c r="X32" s="260"/>
      <c r="Y32" s="260"/>
      <c r="Z32" s="260"/>
      <c r="AA32" s="260"/>
      <c r="AB32" s="260"/>
      <c r="AC32" s="260"/>
      <c r="AD32" s="260"/>
      <c r="AE32" s="665"/>
      <c r="AF32" s="665"/>
      <c r="AG32" s="665"/>
      <c r="AH32" s="134"/>
      <c r="AI32" s="133"/>
      <c r="AJ32" s="133"/>
      <c r="AM32">
        <v>1</v>
      </c>
      <c r="AN32" s="174">
        <f>IF('Задание на ТРУМПФ'!AP7&gt;0,'Исходные данные'!U16*2,0)</f>
        <v>0</v>
      </c>
      <c r="AO32" s="174">
        <f>IF('Задание на ТРУМПФ'!AQ7&gt;0,'Исходные данные'!U16*2,0)</f>
        <v>0</v>
      </c>
      <c r="AQ32">
        <v>1</v>
      </c>
      <c r="AR32" s="4">
        <f>IF('Задание на ТРУМПФ'!AU7&gt;0,'Исходные данные'!U16*2,0)</f>
        <v>0</v>
      </c>
      <c r="AS32" s="4">
        <f>IF('Задание на ТРУМПФ'!AV7&gt;0,2*'Исходные данные'!U16,0)</f>
        <v>0</v>
      </c>
      <c r="AV32" s="4">
        <f>IF('Задание на ТРУМПФ'!AX7&gt;0,2*'Исходные данные'!U16,0)</f>
        <v>0</v>
      </c>
      <c r="AW32" s="4">
        <f>IF('Задание на ТРУМПФ'!AY7&gt;0,2*'Исходные данные'!U16,0)</f>
        <v>0</v>
      </c>
    </row>
    <row r="33" spans="1:50" ht="28.5">
      <c r="A33" s="604"/>
      <c r="B33" s="605"/>
      <c r="C33" s="606"/>
      <c r="D33" s="607"/>
      <c r="E33" s="273"/>
      <c r="F33" s="274"/>
      <c r="G33" s="273"/>
      <c r="H33" s="273"/>
      <c r="I33" s="273"/>
      <c r="J33" s="273"/>
      <c r="K33" s="414"/>
      <c r="L33" s="273"/>
      <c r="M33" s="273"/>
      <c r="N33" s="273"/>
      <c r="O33" s="273"/>
      <c r="P33" s="273"/>
      <c r="Q33" s="273"/>
      <c r="R33" s="273"/>
      <c r="S33" s="273"/>
      <c r="T33" s="173"/>
      <c r="U33" s="482"/>
      <c r="V33" s="260"/>
      <c r="W33" s="260"/>
      <c r="X33" s="260"/>
      <c r="Y33" s="260"/>
      <c r="Z33" s="260"/>
      <c r="AA33" s="260"/>
      <c r="AB33" s="260"/>
      <c r="AC33" s="260"/>
      <c r="AD33" s="260"/>
      <c r="AE33" s="665"/>
      <c r="AF33" s="665"/>
      <c r="AG33" s="665"/>
      <c r="AH33" s="134"/>
      <c r="AI33" s="133"/>
      <c r="AJ33" s="133"/>
      <c r="AM33">
        <v>2</v>
      </c>
      <c r="AN33" s="174">
        <f>IF('Задание на ТРУМПФ'!AP8&gt;0,'Исходные данные'!U17*2,0)</f>
        <v>0</v>
      </c>
      <c r="AO33" s="174">
        <f>IF('Задание на ТРУМПФ'!AQ8&gt;0,'Исходные данные'!U17*2,0)</f>
        <v>0</v>
      </c>
      <c r="AQ33">
        <v>2</v>
      </c>
      <c r="AR33" s="4">
        <f>IF('Задание на ТРУМПФ'!AU8&gt;0,'Исходные данные'!U17*2,0)</f>
        <v>0</v>
      </c>
      <c r="AS33" s="4">
        <f>IF('Задание на ТРУМПФ'!AV8&gt;0,2*'Исходные данные'!U17,0)</f>
        <v>0</v>
      </c>
      <c r="AV33" s="4">
        <f>IF('Задание на ТРУМПФ'!AX8&gt;0,2*'Исходные данные'!U17,0)</f>
        <v>0</v>
      </c>
      <c r="AW33" s="4">
        <f>IF('Задание на ТРУМПФ'!AY8&gt;0,2*'Исходные данные'!U17,0)</f>
        <v>0</v>
      </c>
    </row>
    <row r="34" spans="1:50" ht="15.75" thickBot="1">
      <c r="A34" s="604"/>
      <c r="B34" s="605"/>
      <c r="C34" s="606"/>
      <c r="D34" s="60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S34" s="10"/>
      <c r="T34" s="172"/>
      <c r="U34" s="484"/>
      <c r="V34" s="360"/>
      <c r="W34" s="360"/>
      <c r="X34" s="360"/>
      <c r="Y34" s="360"/>
      <c r="Z34" s="360"/>
      <c r="AA34" s="360"/>
      <c r="AB34" s="360"/>
      <c r="AC34" s="360"/>
      <c r="AD34" s="406"/>
      <c r="AE34" s="134"/>
      <c r="AF34" s="134"/>
      <c r="AH34" s="134"/>
      <c r="AI34" s="133"/>
      <c r="AJ34" s="133"/>
      <c r="AM34">
        <v>3</v>
      </c>
      <c r="AN34" s="174">
        <f>IF('Задание на ТРУМПФ'!AP9&gt;0,'Исходные данные'!U18*2,0)</f>
        <v>0</v>
      </c>
      <c r="AO34" s="174">
        <f>IF('Задание на ТРУМПФ'!AQ9&gt;0,'Исходные данные'!U18*2,0)</f>
        <v>0</v>
      </c>
      <c r="AQ34">
        <v>3</v>
      </c>
      <c r="AR34" s="4">
        <f>IF('Задание на ТРУМПФ'!AU9&gt;0,'Исходные данные'!U18*2,0)</f>
        <v>0</v>
      </c>
      <c r="AS34" s="4">
        <f>IF('Задание на ТРУМПФ'!AV9&gt;0,2*'Исходные данные'!U18,0)</f>
        <v>0</v>
      </c>
      <c r="AV34" s="4">
        <f>IF('Задание на ТРУМПФ'!AX9&gt;0,2*'Исходные данные'!U18,0)</f>
        <v>0</v>
      </c>
      <c r="AW34" s="4">
        <f>IF('Задание на ТРУМПФ'!AY9&gt;0,2*'Исходные данные'!U18,0)</f>
        <v>0</v>
      </c>
    </row>
    <row r="35" spans="1:50" ht="27" thickBot="1">
      <c r="A35" s="604"/>
      <c r="B35" s="605"/>
      <c r="C35" s="606"/>
      <c r="D35" s="607"/>
      <c r="E35" s="10"/>
      <c r="F35" s="473" t="s">
        <v>286</v>
      </c>
      <c r="G35" s="5"/>
      <c r="H35" s="5"/>
      <c r="I35" s="5"/>
      <c r="J35" s="5"/>
      <c r="K35" s="277">
        <f>O28+R28+W28+Y28+AC28+AG28+AI28+AK28</f>
        <v>0</v>
      </c>
      <c r="L35" s="161"/>
      <c r="M35" s="161"/>
      <c r="N35" s="5"/>
      <c r="O35" s="5"/>
      <c r="P35" s="5"/>
      <c r="Q35" s="10"/>
      <c r="T35" s="665"/>
      <c r="U35" s="665"/>
      <c r="V35" s="665"/>
      <c r="W35" s="665"/>
      <c r="X35" s="665"/>
      <c r="Y35" s="665"/>
      <c r="Z35" s="665"/>
      <c r="AA35" s="665"/>
      <c r="AB35" s="665"/>
      <c r="AC35" s="665"/>
      <c r="AD35" s="665"/>
      <c r="AE35" s="665"/>
      <c r="AF35" s="665"/>
      <c r="AG35" s="665"/>
      <c r="AH35" s="134"/>
      <c r="AI35" s="133"/>
      <c r="AJ35" s="133"/>
      <c r="AM35">
        <v>4</v>
      </c>
      <c r="AN35" s="174">
        <f>IF('Задание на ТРУМПФ'!AP10&gt;0,'Исходные данные'!U19*2,0)</f>
        <v>0</v>
      </c>
      <c r="AO35" s="174">
        <f>IF('Задание на ТРУМПФ'!AQ10&gt;0,'Исходные данные'!U19*2,0)</f>
        <v>0</v>
      </c>
      <c r="AQ35">
        <v>4</v>
      </c>
      <c r="AR35" s="4">
        <f>IF('Задание на ТРУМПФ'!AU10&gt;0,'Исходные данные'!U19*2,0)</f>
        <v>0</v>
      </c>
      <c r="AS35" s="4">
        <f>IF('Задание на ТРУМПФ'!AV10&gt;0,2*'Исходные данные'!U19,0)</f>
        <v>0</v>
      </c>
      <c r="AV35" s="4">
        <f>IF('Задание на ТРУМПФ'!AX10&gt;0,2*'Исходные данные'!U19,0)</f>
        <v>0</v>
      </c>
      <c r="AW35" s="4">
        <f>IF('Задание на ТРУМПФ'!AY10&gt;0,2*'Исходные данные'!U19,0)</f>
        <v>0</v>
      </c>
    </row>
    <row r="36" spans="1:50">
      <c r="A36" s="604"/>
      <c r="B36" s="605"/>
      <c r="C36" s="606"/>
      <c r="D36" s="607"/>
      <c r="E36" s="10"/>
      <c r="F36" s="10"/>
      <c r="G36" s="10"/>
      <c r="H36" s="10"/>
      <c r="I36" s="10"/>
      <c r="J36" s="10"/>
      <c r="N36" s="10"/>
      <c r="O36" s="10"/>
      <c r="P36" s="10"/>
      <c r="Q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34"/>
      <c r="AI36" s="133"/>
      <c r="AJ36" s="133"/>
      <c r="AM36">
        <v>5</v>
      </c>
      <c r="AN36" s="174">
        <f>IF('Задание на ТРУМПФ'!AP11&gt;0,'Исходные данные'!U20*2,0)</f>
        <v>0</v>
      </c>
      <c r="AO36" s="174">
        <f>IF('Задание на ТРУМПФ'!AQ11&gt;0,'Исходные данные'!U20*2,0)</f>
        <v>0</v>
      </c>
      <c r="AQ36">
        <v>5</v>
      </c>
      <c r="AR36" s="4">
        <f>IF('Задание на ТРУМПФ'!AU11&gt;0,'Исходные данные'!U20*2,0)</f>
        <v>0</v>
      </c>
      <c r="AS36" s="4">
        <f>IF('Задание на ТРУМПФ'!AV11&gt;0,2*'Исходные данные'!U20,0)</f>
        <v>0</v>
      </c>
      <c r="AV36" s="4">
        <f>IF('Задание на ТРУМПФ'!AX11&gt;0,2*'Исходные данные'!U20,0)</f>
        <v>0</v>
      </c>
      <c r="AW36" s="4">
        <f>IF('Задание на ТРУМПФ'!AY11&gt;0,2*'Исходные данные'!U20,0)</f>
        <v>0</v>
      </c>
    </row>
    <row r="37" spans="1:50" ht="22.5">
      <c r="A37" s="604"/>
      <c r="B37" s="605"/>
      <c r="C37" s="606"/>
      <c r="D37" s="607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62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9"/>
      <c r="AH37" s="134"/>
      <c r="AI37" s="133"/>
      <c r="AJ37" s="133"/>
      <c r="AM37">
        <v>6</v>
      </c>
      <c r="AN37" s="174">
        <f>IF('Задание на ТРУМПФ'!AP12&gt;0,'Исходные данные'!U21*2,0)</f>
        <v>0</v>
      </c>
      <c r="AO37" s="174">
        <f>IF('Задание на ТРУМПФ'!AQ12&gt;0,'Исходные данные'!U21*2,0)</f>
        <v>0</v>
      </c>
      <c r="AQ37">
        <v>6</v>
      </c>
      <c r="AR37" s="4">
        <f>IF('Задание на ТРУМПФ'!AU12&gt;0,'Исходные данные'!U21*2,0)</f>
        <v>0</v>
      </c>
      <c r="AS37" s="4">
        <f>IF('Задание на ТРУМПФ'!AV12&gt;0,2*'Исходные данные'!U21,0)</f>
        <v>0</v>
      </c>
      <c r="AV37" s="4">
        <f>IF('Задание на ТРУМПФ'!AX12&gt;0,2*'Исходные данные'!U21,0)</f>
        <v>0</v>
      </c>
      <c r="AW37" s="4">
        <f>IF('Задание на ТРУМПФ'!AY12&gt;0,2*'Исходные данные'!U21,0)</f>
        <v>0</v>
      </c>
    </row>
    <row r="38" spans="1:50" ht="22.5">
      <c r="A38" s="604"/>
      <c r="B38" s="605"/>
      <c r="C38" s="606"/>
      <c r="D38" s="607"/>
      <c r="F38" s="138"/>
      <c r="G38" s="138" t="s">
        <v>175</v>
      </c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8"/>
      <c r="AH38" s="134"/>
      <c r="AI38" s="133"/>
      <c r="AJ38" s="133"/>
      <c r="AM38">
        <v>7</v>
      </c>
      <c r="AN38" s="174">
        <f>IF('Задание на ТРУМПФ'!AP13&gt;0,'Исходные данные'!U22*2,0)</f>
        <v>0</v>
      </c>
      <c r="AO38" s="174">
        <f>IF('Задание на ТРУМПФ'!AQ13&gt;0,'Исходные данные'!U22*2,0)</f>
        <v>0</v>
      </c>
      <c r="AQ38">
        <v>7</v>
      </c>
      <c r="AR38" s="4">
        <f>IF('Задание на ТРУМПФ'!AU13&gt;0,'Исходные данные'!U22*2,0)</f>
        <v>0</v>
      </c>
      <c r="AS38" s="4">
        <f>IF('Задание на ТРУМПФ'!AV13&gt;0,2*'Исходные данные'!U22,0)</f>
        <v>0</v>
      </c>
      <c r="AV38" s="4">
        <f>IF('Задание на ТРУМПФ'!AX13&gt;0,2*'Исходные данные'!U22,0)</f>
        <v>0</v>
      </c>
      <c r="AW38" s="4">
        <f>IF('Задание на ТРУМПФ'!AY13&gt;0,2*'Исходные данные'!U22,0)</f>
        <v>0</v>
      </c>
    </row>
    <row r="39" spans="1:50" ht="22.5">
      <c r="E39" s="10"/>
      <c r="F39" s="138"/>
      <c r="G39" s="138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8"/>
      <c r="AH39" s="134"/>
      <c r="AI39" s="133"/>
      <c r="AJ39" s="133"/>
      <c r="AM39">
        <v>8</v>
      </c>
      <c r="AN39" s="174">
        <f>IF('Задание на ТРУМПФ'!AP14&gt;0,'Исходные данные'!U23*2,0)</f>
        <v>0</v>
      </c>
      <c r="AO39" s="174">
        <f>IF('Задание на ТРУМПФ'!AQ14&gt;0,'Исходные данные'!U23*2,0)</f>
        <v>0</v>
      </c>
      <c r="AQ39">
        <v>8</v>
      </c>
      <c r="AR39" s="4">
        <f>IF('Задание на ТРУМПФ'!AU14&gt;0,'Исходные данные'!U23*2,0)</f>
        <v>0</v>
      </c>
      <c r="AS39" s="4">
        <f>IF('Задание на ТРУМПФ'!AV14&gt;0,2*'Исходные данные'!U23,0)</f>
        <v>0</v>
      </c>
      <c r="AV39" s="4">
        <f>IF('Задание на ТРУМПФ'!AX14&gt;0,2*'Исходные данные'!U23,0)</f>
        <v>0</v>
      </c>
      <c r="AW39" s="4">
        <f>IF('Задание на ТРУМПФ'!AY14&gt;0,2*'Исходные данные'!U23,0)</f>
        <v>0</v>
      </c>
    </row>
    <row r="40" spans="1:50" ht="22.5">
      <c r="E40" s="10"/>
      <c r="F40" s="138"/>
      <c r="G40" s="138" t="s">
        <v>176</v>
      </c>
      <c r="H40" s="138"/>
      <c r="I40" s="138"/>
      <c r="J40" s="138"/>
      <c r="K40" s="138"/>
      <c r="L40" s="138"/>
      <c r="M40" s="138" t="s">
        <v>165</v>
      </c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4"/>
      <c r="AI40" s="133"/>
      <c r="AJ40" s="133"/>
      <c r="AM40">
        <v>9</v>
      </c>
      <c r="AN40" s="174">
        <f>IF('Задание на ТРУМПФ'!AP15&gt;0,'Исходные данные'!U24*2,0)</f>
        <v>0</v>
      </c>
      <c r="AO40" s="174">
        <f>IF('Задание на ТРУМПФ'!AQ15&gt;0,'Исходные данные'!U24*2,0)</f>
        <v>0</v>
      </c>
      <c r="AQ40">
        <v>9</v>
      </c>
      <c r="AR40" s="4">
        <f>IF('Задание на ТРУМПФ'!AU15&gt;0,'Исходные данные'!U24*2,0)</f>
        <v>0</v>
      </c>
      <c r="AS40" s="4">
        <f>IF('Задание на ТРУМПФ'!AV15&gt;0,2*'Исходные данные'!U24,0)</f>
        <v>0</v>
      </c>
      <c r="AV40" s="4">
        <f>IF('Задание на ТРУМПФ'!AX15&gt;0,2*'Исходные данные'!U24,0)</f>
        <v>0</v>
      </c>
      <c r="AW40" s="4">
        <f>IF('Задание на ТРУМПФ'!AY15&gt;0,2*'Исходные данные'!U24,0)</f>
        <v>0</v>
      </c>
    </row>
    <row r="41" spans="1:50" ht="22.5">
      <c r="E41" s="10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0"/>
      <c r="AI41" s="10"/>
      <c r="AJ41" s="10"/>
      <c r="AK41" s="10"/>
      <c r="AM41">
        <v>10</v>
      </c>
      <c r="AN41" s="174">
        <f>IF('Задание на ТРУМПФ'!AP16&gt;0,'Исходные данные'!U25*2,0)</f>
        <v>0</v>
      </c>
      <c r="AO41" s="174">
        <f>IF('Задание на ТРУМПФ'!AQ16&gt;0,'Исходные данные'!U25*2,0)</f>
        <v>0</v>
      </c>
      <c r="AQ41">
        <v>10</v>
      </c>
      <c r="AR41" s="4">
        <f>IF('Задание на ТРУМПФ'!AU16&gt;0,'Исходные данные'!U25*2,0)</f>
        <v>0</v>
      </c>
      <c r="AS41" s="4">
        <f>IF('Задание на ТРУМПФ'!AV16&gt;0,2*'Исходные данные'!U25,0)</f>
        <v>0</v>
      </c>
      <c r="AV41" s="4">
        <f>IF('Задание на ТРУМПФ'!AX16&gt;0,2*'Исходные данные'!U25,0)</f>
        <v>0</v>
      </c>
      <c r="AW41" s="4">
        <f>IF('Задание на ТРУМПФ'!AY16&gt;0,2*'Исходные данные'!U25,0)</f>
        <v>0</v>
      </c>
    </row>
    <row r="42" spans="1:50" ht="22.5">
      <c r="E42" s="10"/>
      <c r="F42" s="138"/>
      <c r="G42" s="138"/>
      <c r="H42" s="139"/>
      <c r="I42" s="139"/>
      <c r="J42" s="139"/>
      <c r="K42" s="139"/>
      <c r="L42" s="139"/>
      <c r="M42" s="139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0"/>
      <c r="AI42" s="10"/>
      <c r="AJ42" s="10"/>
      <c r="AK42" s="10"/>
      <c r="AM42">
        <v>11</v>
      </c>
      <c r="AN42" s="174">
        <f>IF('Задание на ТРУМПФ'!AP17&gt;0,'Исходные данные'!U26*2,0)</f>
        <v>0</v>
      </c>
      <c r="AO42" s="174">
        <f>IF('Задание на ТРУМПФ'!AQ17&gt;0,'Исходные данные'!U26*2,0)</f>
        <v>0</v>
      </c>
      <c r="AQ42">
        <v>11</v>
      </c>
      <c r="AR42" s="4">
        <f>IF('Задание на ТРУМПФ'!AU17&gt;0,'Исходные данные'!U26*2,0)</f>
        <v>0</v>
      </c>
      <c r="AS42" s="4">
        <f>IF('Задание на ТРУМПФ'!AV17&gt;0,2*'Исходные данные'!U26,0)</f>
        <v>0</v>
      </c>
      <c r="AV42" s="4">
        <f>IF('Задание на ТРУМПФ'!AX17&gt;0,2*'Исходные данные'!U26,0)</f>
        <v>0</v>
      </c>
      <c r="AW42" s="4">
        <f>IF('Задание на ТРУМПФ'!AY17&gt;0,2*'Исходные данные'!U26,0)</f>
        <v>0</v>
      </c>
    </row>
    <row r="43" spans="1:50" ht="36">
      <c r="D43" s="135"/>
      <c r="E43" s="10"/>
      <c r="F43" s="10" t="str">
        <f>CONCATENATE(B9,"----",A26)</f>
        <v xml:space="preserve">СОПРОВОДИТЕЛЬНЫЙ ЛИСТ №  ----Участок TruBend </v>
      </c>
      <c r="H43" s="10"/>
      <c r="I43" s="10"/>
      <c r="J43" s="10"/>
      <c r="K43" s="136"/>
      <c r="L43" s="136"/>
      <c r="M43" s="136"/>
      <c r="N43" s="136"/>
      <c r="O43" s="10"/>
      <c r="P43" s="137"/>
      <c r="Q43" s="137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M43">
        <v>12</v>
      </c>
      <c r="AN43" s="174">
        <f>IF('Задание на ТРУМПФ'!AP18&gt;0,'Исходные данные'!U27*2,0)</f>
        <v>0</v>
      </c>
      <c r="AO43" s="174">
        <f>IF('Задание на ТРУМПФ'!AQ18&gt;0,'Исходные данные'!U27*2,0)</f>
        <v>0</v>
      </c>
      <c r="AQ43">
        <v>12</v>
      </c>
      <c r="AR43" s="4">
        <f>IF('Задание на ТРУМПФ'!AU18&gt;0,'Исходные данные'!U27*2,0)</f>
        <v>0</v>
      </c>
      <c r="AS43" s="4">
        <f>IF('Задание на ТРУМПФ'!AV18&gt;0,2*'Исходные данные'!U27,0)</f>
        <v>0</v>
      </c>
      <c r="AV43" s="4">
        <f>IF('Задание на ТРУМПФ'!AX18&gt;0,2*'Исходные данные'!U27,0)</f>
        <v>0</v>
      </c>
      <c r="AW43" s="4">
        <f>IF('Задание на ТРУМПФ'!AY18&gt;0,2*'Исходные данные'!U27,0)</f>
        <v>0</v>
      </c>
    </row>
    <row r="44" spans="1:50" ht="22.5">
      <c r="C44" s="138"/>
      <c r="D44" s="138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M44">
        <v>13</v>
      </c>
      <c r="AN44" s="174">
        <f>IF('Задание на ТРУМПФ'!AP19&gt;0,'Исходные данные'!U28*2,0)</f>
        <v>0</v>
      </c>
      <c r="AO44" s="174">
        <f>IF('Задание на ТРУМПФ'!AQ19&gt;0,'Исходные данные'!U28*2,0)</f>
        <v>0</v>
      </c>
      <c r="AQ44">
        <v>13</v>
      </c>
      <c r="AR44" s="4">
        <f>IF('Задание на ТРУМПФ'!AU19&gt;0,'Исходные данные'!U28*2,0)</f>
        <v>0</v>
      </c>
      <c r="AS44" s="4">
        <f>IF('Задание на ТРУМПФ'!AV19&gt;0,2*'Исходные данные'!U28,0)</f>
        <v>0</v>
      </c>
      <c r="AV44" s="4">
        <f>IF('Задание на ТРУМПФ'!AX19&gt;0,2*'Исходные данные'!U28,0)</f>
        <v>0</v>
      </c>
      <c r="AW44" s="4">
        <f>IF('Задание на ТРУМПФ'!AY19&gt;0,2*'Исходные данные'!U28,0)</f>
        <v>0</v>
      </c>
    </row>
    <row r="45" spans="1:50" ht="22.5">
      <c r="C45" s="138"/>
      <c r="D45" s="138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M45">
        <v>14</v>
      </c>
      <c r="AN45" s="174">
        <f>IF('Задание на ТРУМПФ'!AP20&gt;0,'Исходные данные'!U29*2,0)</f>
        <v>0</v>
      </c>
      <c r="AO45" s="174">
        <f>IF('Задание на ТРУМПФ'!AQ20&gt;0,'Исходные данные'!U29*2,0)</f>
        <v>0</v>
      </c>
      <c r="AQ45">
        <v>14</v>
      </c>
      <c r="AR45" s="4">
        <f>IF('Задание на ТРУМПФ'!AU20&gt;0,'Исходные данные'!U29*2,0)</f>
        <v>0</v>
      </c>
      <c r="AS45" s="4">
        <f>IF('Задание на ТРУМПФ'!AV20&gt;0,2*'Исходные данные'!U29,0)</f>
        <v>0</v>
      </c>
      <c r="AV45" s="4">
        <f>IF('Задание на ТРУМПФ'!AX20&gt;0,2*'Исходные данные'!U29,0)</f>
        <v>0</v>
      </c>
      <c r="AW45" s="4">
        <f>IF('Задание на ТРУМПФ'!AY20&gt;0,2*'Исходные данные'!U29,0)</f>
        <v>0</v>
      </c>
    </row>
    <row r="46" spans="1:50" ht="23.25" thickBot="1">
      <c r="C46" s="138"/>
      <c r="D46" s="138" t="s">
        <v>164</v>
      </c>
      <c r="E46" s="138"/>
      <c r="F46" s="138"/>
      <c r="G46" s="138"/>
      <c r="H46" s="138" t="s">
        <v>165</v>
      </c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M46">
        <v>15</v>
      </c>
      <c r="AN46" s="174">
        <f>IF('Задание на ТРУМПФ'!AP21&gt;0,'Исходные данные'!U30*2,0)</f>
        <v>0</v>
      </c>
      <c r="AO46" s="174">
        <f>IF('Задание на ТРУМПФ'!AQ21&gt;0,'Исходные данные'!U30*2,0)</f>
        <v>0</v>
      </c>
      <c r="AQ46">
        <v>15</v>
      </c>
      <c r="AR46" s="4">
        <f>IF('Задание на ТРУМПФ'!AU21&gt;0,'Исходные данные'!U30*2,0)</f>
        <v>0</v>
      </c>
      <c r="AS46" s="4">
        <f>IF('Задание на ТРУМПФ'!AV21&gt;0,2*'Исходные данные'!U30,0)</f>
        <v>0</v>
      </c>
      <c r="AV46" s="4">
        <f>IF('Задание на ТРУМПФ'!AX21&gt;0,2*'Исходные данные'!U30,0)</f>
        <v>0</v>
      </c>
      <c r="AW46" s="4">
        <f>IF('Задание на ТРУМПФ'!AY21&gt;0,2*'Исходные данные'!U30,0)</f>
        <v>0</v>
      </c>
    </row>
    <row r="47" spans="1:50" ht="23.25" thickBot="1"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40" t="s">
        <v>166</v>
      </c>
      <c r="Q47" s="140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N47" s="519">
        <f>SUM(AN32:AN46)</f>
        <v>0</v>
      </c>
      <c r="AO47" s="519">
        <f>SUM(AO32:AO46)</f>
        <v>0</v>
      </c>
      <c r="AP47" s="519">
        <f>AN47+AO47</f>
        <v>0</v>
      </c>
      <c r="AR47" s="521">
        <f>SUM(AR32:AR46)</f>
        <v>0</v>
      </c>
      <c r="AS47" s="524">
        <f>SUM(AS32:AS46)</f>
        <v>0</v>
      </c>
      <c r="AT47" s="523"/>
      <c r="AV47" s="519">
        <f>SUM(AV32:AV46)</f>
        <v>0</v>
      </c>
      <c r="AW47" s="519">
        <f>SUM(AW32:AW46)</f>
        <v>0</v>
      </c>
      <c r="AX47" s="523"/>
    </row>
    <row r="48" spans="1:50" ht="15.75" thickBot="1">
      <c r="AO48" t="s">
        <v>222</v>
      </c>
      <c r="AP48" s="525">
        <f>0.048*AP47</f>
        <v>0</v>
      </c>
      <c r="AR48" s="519">
        <f>0.024*AR47</f>
        <v>0</v>
      </c>
      <c r="AS48" s="519">
        <f>0.036*AS47</f>
        <v>0</v>
      </c>
      <c r="AT48" s="525">
        <f>AR48+AS48</f>
        <v>0</v>
      </c>
      <c r="AV48" s="519">
        <f>0.03*AV47</f>
        <v>0</v>
      </c>
      <c r="AW48" s="519">
        <f>0.018*AW47</f>
        <v>0</v>
      </c>
      <c r="AX48" s="525">
        <f>AV48+AW48</f>
        <v>0</v>
      </c>
    </row>
    <row r="51" spans="43:45" ht="15.75" thickBot="1"/>
    <row r="52" spans="43:45" ht="15.75" thickBot="1">
      <c r="AQ52" t="s">
        <v>353</v>
      </c>
      <c r="AS52" s="519">
        <f>AP48+AT48+AX48</f>
        <v>0</v>
      </c>
    </row>
  </sheetData>
  <mergeCells count="41">
    <mergeCell ref="AN30:AO30"/>
    <mergeCell ref="AR30:AS30"/>
    <mergeCell ref="AV30:AW30"/>
    <mergeCell ref="BC4:BC6"/>
    <mergeCell ref="AZ4:AZ6"/>
    <mergeCell ref="BA4:BA6"/>
    <mergeCell ref="AW4:AW6"/>
    <mergeCell ref="AX4:AX6"/>
    <mergeCell ref="AY4:AY6"/>
    <mergeCell ref="B3:C8"/>
    <mergeCell ref="AE5:AG5"/>
    <mergeCell ref="P5:Q5"/>
    <mergeCell ref="AT4:AT6"/>
    <mergeCell ref="AJ5:AK5"/>
    <mergeCell ref="L5:L6"/>
    <mergeCell ref="AN5:AQ5"/>
    <mergeCell ref="X5:X6"/>
    <mergeCell ref="Y5:Y6"/>
    <mergeCell ref="Z5:AC5"/>
    <mergeCell ref="A26:A38"/>
    <mergeCell ref="E29:S29"/>
    <mergeCell ref="E32:S32"/>
    <mergeCell ref="T35:AG35"/>
    <mergeCell ref="AE32:AG32"/>
    <mergeCell ref="AE33:AG33"/>
    <mergeCell ref="B9:B38"/>
    <mergeCell ref="C17:C38"/>
    <mergeCell ref="D17:D38"/>
    <mergeCell ref="AE29:AG29"/>
    <mergeCell ref="E30:S30"/>
    <mergeCell ref="AE30:AG30"/>
    <mergeCell ref="AH29:AI29"/>
    <mergeCell ref="F4:AK4"/>
    <mergeCell ref="AH5:AI5"/>
    <mergeCell ref="AV4:AV6"/>
    <mergeCell ref="AS4:AS6"/>
    <mergeCell ref="AU4:AU6"/>
    <mergeCell ref="V5:V6"/>
    <mergeCell ref="W5:W6"/>
    <mergeCell ref="AD5:AD6"/>
    <mergeCell ref="U5:U6"/>
  </mergeCells>
  <printOptions horizontalCentered="1"/>
  <pageMargins left="0" right="0" top="0" bottom="0" header="0.31496062992125984" footer="0.31496062992125984"/>
  <pageSetup paperSize="9" scale="3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5"/>
  <sheetViews>
    <sheetView topLeftCell="C8" zoomScale="89" zoomScaleNormal="89" workbookViewId="0">
      <selection activeCell="P27" sqref="P27"/>
    </sheetView>
  </sheetViews>
  <sheetFormatPr defaultRowHeight="15"/>
  <cols>
    <col min="5" max="5" width="3.42578125" customWidth="1"/>
    <col min="7" max="7" width="17.5703125" customWidth="1"/>
    <col min="8" max="10" width="9.140625" hidden="1" customWidth="1"/>
    <col min="11" max="11" width="10.5703125" customWidth="1"/>
    <col min="12" max="12" width="9.28515625" customWidth="1"/>
    <col min="13" max="13" width="16" customWidth="1"/>
    <col min="14" max="14" width="14.28515625" customWidth="1"/>
    <col min="15" max="15" width="34.85546875" customWidth="1"/>
    <col min="16" max="16" width="17.42578125" customWidth="1"/>
    <col min="17" max="17" width="19.42578125" customWidth="1"/>
    <col min="18" max="18" width="17.28515625" customWidth="1"/>
    <col min="19" max="21" width="0" hidden="1" customWidth="1"/>
    <col min="22" max="22" width="8.5703125" hidden="1" customWidth="1"/>
    <col min="23" max="23" width="11.5703125" hidden="1" customWidth="1"/>
    <col min="24" max="27" width="0" hidden="1" customWidth="1"/>
    <col min="28" max="28" width="9.42578125" hidden="1" customWidth="1"/>
    <col min="29" max="29" width="0" hidden="1" customWidth="1"/>
    <col min="30" max="30" width="9.140625" hidden="1" customWidth="1"/>
    <col min="31" max="31" width="15.7109375" hidden="1" customWidth="1"/>
    <col min="32" max="32" width="11.28515625" hidden="1" customWidth="1"/>
    <col min="33" max="33" width="0" hidden="1" customWidth="1"/>
    <col min="34" max="34" width="25" customWidth="1"/>
    <col min="36" max="36" width="17.42578125" customWidth="1"/>
    <col min="37" max="37" width="11.85546875" customWidth="1"/>
  </cols>
  <sheetData>
    <row r="1" spans="3:33" hidden="1"/>
    <row r="2" spans="3:33" hidden="1"/>
    <row r="3" spans="3:33" ht="26.25" hidden="1" customHeight="1"/>
    <row r="4" spans="3:33" ht="27.75" hidden="1" customHeight="1"/>
    <row r="5" spans="3:33" ht="48" customHeight="1">
      <c r="F5" s="187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0"/>
      <c r="T5" s="10"/>
      <c r="U5" s="188"/>
    </row>
    <row r="6" spans="3:33" ht="40.5" customHeight="1">
      <c r="C6" s="702">
        <f>'Исходные данные'!J12</f>
        <v>4444</v>
      </c>
      <c r="D6" s="703"/>
      <c r="F6" s="704" t="s">
        <v>202</v>
      </c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188"/>
      <c r="V6" s="220"/>
      <c r="W6" s="221"/>
    </row>
    <row r="7" spans="3:33" ht="33" customHeight="1" thickBot="1">
      <c r="C7" s="702"/>
      <c r="D7" s="703"/>
      <c r="F7" s="189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88"/>
      <c r="V7" s="220"/>
      <c r="W7" s="221"/>
    </row>
    <row r="8" spans="3:33" ht="33" customHeight="1" thickBot="1">
      <c r="C8" s="702"/>
      <c r="D8" s="703"/>
      <c r="E8" s="12"/>
      <c r="F8" s="692" t="s">
        <v>148</v>
      </c>
      <c r="G8" s="706" t="s">
        <v>149</v>
      </c>
      <c r="H8" s="706" t="s">
        <v>150</v>
      </c>
      <c r="I8" s="692" t="s">
        <v>77</v>
      </c>
      <c r="J8" s="697" t="s">
        <v>188</v>
      </c>
      <c r="K8" s="697" t="s">
        <v>155</v>
      </c>
      <c r="L8" s="697" t="s">
        <v>156</v>
      </c>
      <c r="M8" s="697" t="s">
        <v>192</v>
      </c>
      <c r="N8" s="697" t="s">
        <v>197</v>
      </c>
      <c r="O8" s="697" t="s">
        <v>220</v>
      </c>
      <c r="P8" s="697" t="s">
        <v>195</v>
      </c>
      <c r="Q8" s="697" t="s">
        <v>230</v>
      </c>
      <c r="R8" s="697" t="s">
        <v>196</v>
      </c>
      <c r="S8" s="700" t="s">
        <v>189</v>
      </c>
      <c r="T8" s="692" t="s">
        <v>2</v>
      </c>
      <c r="U8" s="188"/>
      <c r="V8" s="220"/>
      <c r="W8" s="221"/>
    </row>
    <row r="9" spans="3:33" ht="33" customHeight="1" thickBot="1">
      <c r="C9" s="702"/>
      <c r="D9" s="703"/>
      <c r="F9" s="693"/>
      <c r="G9" s="707"/>
      <c r="H9" s="707"/>
      <c r="I9" s="693"/>
      <c r="J9" s="698"/>
      <c r="K9" s="698"/>
      <c r="L9" s="698"/>
      <c r="M9" s="698"/>
      <c r="N9" s="698"/>
      <c r="O9" s="698"/>
      <c r="P9" s="698"/>
      <c r="Q9" s="698"/>
      <c r="R9" s="698"/>
      <c r="S9" s="700"/>
      <c r="T9" s="693"/>
      <c r="U9" s="190"/>
      <c r="V9" s="220"/>
      <c r="W9" s="221"/>
    </row>
    <row r="10" spans="3:33" ht="42" customHeight="1" thickBot="1">
      <c r="C10" s="702"/>
      <c r="D10" s="703"/>
      <c r="F10" s="693"/>
      <c r="G10" s="707"/>
      <c r="H10" s="707"/>
      <c r="I10" s="693"/>
      <c r="J10" s="698"/>
      <c r="K10" s="698"/>
      <c r="L10" s="698"/>
      <c r="M10" s="698"/>
      <c r="N10" s="698"/>
      <c r="O10" s="698"/>
      <c r="P10" s="698"/>
      <c r="Q10" s="698"/>
      <c r="R10" s="698"/>
      <c r="S10" s="700"/>
      <c r="T10" s="693"/>
      <c r="U10" s="188"/>
      <c r="V10" s="220"/>
      <c r="W10" s="221"/>
    </row>
    <row r="11" spans="3:33" ht="33" customHeight="1" thickBot="1">
      <c r="C11" s="702"/>
      <c r="D11" s="703"/>
      <c r="F11" s="694"/>
      <c r="G11" s="708"/>
      <c r="H11" s="708"/>
      <c r="I11" s="694"/>
      <c r="J11" s="699"/>
      <c r="K11" s="699"/>
      <c r="L11" s="699"/>
      <c r="M11" s="699"/>
      <c r="N11" s="699"/>
      <c r="O11" s="699"/>
      <c r="P11" s="699"/>
      <c r="Q11" s="699"/>
      <c r="R11" s="699"/>
      <c r="S11" s="178" t="s">
        <v>23</v>
      </c>
      <c r="T11" s="694"/>
      <c r="U11" s="190"/>
      <c r="V11" s="220"/>
      <c r="W11" s="221"/>
    </row>
    <row r="12" spans="3:33" ht="33" customHeight="1" thickBot="1">
      <c r="C12" s="702"/>
      <c r="D12" s="703"/>
      <c r="E12" s="191"/>
      <c r="F12" s="192">
        <v>1</v>
      </c>
      <c r="G12" s="208">
        <f>'Исходные данные'!B16</f>
        <v>0</v>
      </c>
      <c r="H12" s="193" t="e">
        <f>'[1]Исходные данные'!AP10</f>
        <v>#REF!</v>
      </c>
      <c r="I12" s="194">
        <f>'[1]Исходные данные'!AQ10</f>
        <v>0</v>
      </c>
      <c r="J12" s="194">
        <f>'[1]Исходные данные'!AS10</f>
        <v>0</v>
      </c>
      <c r="K12" s="194">
        <f>'Исходные данные'!I16</f>
        <v>0</v>
      </c>
      <c r="L12" s="194">
        <f>'Исходные данные'!J16</f>
        <v>0</v>
      </c>
      <c r="M12" s="194">
        <f>'Исходные данные'!N16</f>
        <v>0</v>
      </c>
      <c r="N12" s="194">
        <f>'Исходные данные'!M16</f>
        <v>0</v>
      </c>
      <c r="O12" s="194">
        <f>IF(M12="Siemenes","ВМ 02.100.01.000-01",IF(M12="Belimo","ВМ 02.100.01.000",0))</f>
        <v>0</v>
      </c>
      <c r="P12" s="194">
        <f>IF(AND(M12="Siemenes",N12="сн"),K12+40,IF(AND(M12="Siemenes",N12="вн"),K12-5,IF(AND(M12="Belimo",N12="сн"),K12+30+15,IF(AND(M12="Belimo",N12="вн"),K12-60+15,))))</f>
        <v>0</v>
      </c>
      <c r="Q12" s="194">
        <f>P12-170</f>
        <v>-170</v>
      </c>
      <c r="R12" s="194">
        <f>'Исходные данные'!U16</f>
        <v>0</v>
      </c>
      <c r="S12" s="195" t="e">
        <f>IF('[1]Исходные данные'!AZ10=1,'[1]Исходные данные'!AT10-4,IF('[1]Исходные данные'!AZ10=3,'[1]Исходные данные'!AT10-4,IF('[1]Исходные данные'!AZ10=2,"---",IF('[1]Исходные данные'!AZ10=4,"---",))))</f>
        <v>#REF!</v>
      </c>
      <c r="T12" s="196" t="e">
        <f>'[1]Труматик гермики'!BF11</f>
        <v>#REF!</v>
      </c>
      <c r="U12" s="188">
        <f>IF(R12&gt;0,R12,0)</f>
        <v>0</v>
      </c>
      <c r="V12" s="220">
        <f>IF(R12&gt;0,R12,0)</f>
        <v>0</v>
      </c>
      <c r="W12" s="221"/>
      <c r="AE12">
        <f>IF(Q12&lt;=250,0.009,IF(H12&lt;=500,0.011,IF(Q12&lt;=750,0.012,IF(Q12&lt;=1000,0.014,IF(Q12&lt;=1250,0.015,IF(H12&gt;1251,0.023,"---"))))))</f>
        <v>8.9999999999999993E-3</v>
      </c>
      <c r="AG12">
        <f>R12*AE12</f>
        <v>0</v>
      </c>
    </row>
    <row r="13" spans="3:33" ht="33" customHeight="1" thickBot="1">
      <c r="C13" s="702"/>
      <c r="D13" s="703"/>
      <c r="E13" s="191"/>
      <c r="F13" s="197">
        <f>1+F12</f>
        <v>2</v>
      </c>
      <c r="G13" s="208">
        <f>'Исходные данные'!B17</f>
        <v>0</v>
      </c>
      <c r="H13" s="193" t="e">
        <f>'[1]Исходные данные'!AP11</f>
        <v>#REF!</v>
      </c>
      <c r="I13" s="193">
        <f>'[1]Исходные данные'!AQ11</f>
        <v>0</v>
      </c>
      <c r="J13" s="193">
        <f>'[1]Исходные данные'!AS11</f>
        <v>0</v>
      </c>
      <c r="K13" s="194">
        <f>'Исходные данные'!I17</f>
        <v>0</v>
      </c>
      <c r="L13" s="194">
        <f>'Исходные данные'!J17</f>
        <v>0</v>
      </c>
      <c r="M13" s="194">
        <f>'Исходные данные'!N17</f>
        <v>0</v>
      </c>
      <c r="N13" s="194">
        <f>'Исходные данные'!M17</f>
        <v>0</v>
      </c>
      <c r="O13" s="194">
        <f t="shared" ref="O13:O26" si="0">IF(M13="Siemenes","ВМ 02.100.01.000-01",IF(M13="Belimo","ВМ 02.100.01.000",0))</f>
        <v>0</v>
      </c>
      <c r="P13" s="194">
        <f t="shared" ref="P13:P26" si="1">IF(AND(M13="Siemenes",N13="сн"),K13+40,IF(AND(M13="Siemenes",N13="вн"),K13-5,IF(AND(M13="Belimo",N13="сн"),K13+30+15,IF(AND(M13="Belimo",N13="вн"),K13-60+15,))))</f>
        <v>0</v>
      </c>
      <c r="Q13" s="194">
        <f t="shared" ref="Q13:Q26" si="2">P13-170</f>
        <v>-170</v>
      </c>
      <c r="R13" s="194">
        <f>'Исходные данные'!U17</f>
        <v>0</v>
      </c>
      <c r="S13" s="198" t="e">
        <f>IF('[1]Исходные данные'!AZ11=1,'[1]Исходные данные'!AT11-4,IF('[1]Исходные данные'!AZ11=3,'[1]Исходные данные'!AT11-4,IF('[1]Исходные данные'!AZ11=2,"---",IF('[1]Исходные данные'!AZ11=4,"---",))))</f>
        <v>#REF!</v>
      </c>
      <c r="T13" s="199" t="e">
        <f>'[1]Труматик гермики'!BF12</f>
        <v>#REF!</v>
      </c>
      <c r="U13" s="188">
        <f t="shared" ref="U13:U26" si="3">IF(R13&gt;0,R13,0)</f>
        <v>0</v>
      </c>
      <c r="V13" s="222"/>
      <c r="W13" s="201"/>
      <c r="AE13">
        <f t="shared" ref="AE13:AE26" si="4">IF(Q13&lt;=250,0.009,IF(H13&lt;=500,0.011,IF(Q13&lt;=750,0.012,IF(Q13&lt;=1000,0.014,IF(Q13&lt;=1250,0.015,IF(H13&gt;1251,0.023,"---"))))))</f>
        <v>8.9999999999999993E-3</v>
      </c>
      <c r="AG13">
        <f t="shared" ref="AG13:AG26" si="5">R13*AE13</f>
        <v>0</v>
      </c>
    </row>
    <row r="14" spans="3:33" ht="33" customHeight="1" thickBot="1">
      <c r="C14" s="200"/>
      <c r="D14" s="695" t="s">
        <v>190</v>
      </c>
      <c r="E14" s="696"/>
      <c r="F14" s="197">
        <f t="shared" ref="F14:F26" si="6">1+F13</f>
        <v>3</v>
      </c>
      <c r="G14" s="208">
        <f>'Исходные данные'!B18</f>
        <v>0</v>
      </c>
      <c r="H14" s="193" t="e">
        <f>'[1]Исходные данные'!AP12</f>
        <v>#REF!</v>
      </c>
      <c r="I14" s="193">
        <f>'[1]Исходные данные'!AQ12</f>
        <v>0</v>
      </c>
      <c r="J14" s="193">
        <f>'[1]Исходные данные'!AS12</f>
        <v>0</v>
      </c>
      <c r="K14" s="194">
        <f>'Исходные данные'!I18</f>
        <v>0</v>
      </c>
      <c r="L14" s="194">
        <f>'Исходные данные'!J18</f>
        <v>0</v>
      </c>
      <c r="M14" s="194">
        <f>'Исходные данные'!N18</f>
        <v>0</v>
      </c>
      <c r="N14" s="194">
        <f>'Исходные данные'!M18</f>
        <v>0</v>
      </c>
      <c r="O14" s="194">
        <f t="shared" si="0"/>
        <v>0</v>
      </c>
      <c r="P14" s="194">
        <f t="shared" si="1"/>
        <v>0</v>
      </c>
      <c r="Q14" s="194">
        <f t="shared" si="2"/>
        <v>-170</v>
      </c>
      <c r="R14" s="194">
        <v>4</v>
      </c>
      <c r="S14" s="198" t="e">
        <f>IF('[1]Исходные данные'!AZ12=1,'[1]Исходные данные'!AT12-4,IF('[1]Исходные данные'!AZ12=3,'[1]Исходные данные'!AT12-4,IF('[1]Исходные данные'!AZ12=2,"---",IF('[1]Исходные данные'!AZ12=4,"---",))))</f>
        <v>#REF!</v>
      </c>
      <c r="T14" s="199" t="e">
        <f>'[1]Труматик гермики'!BF13</f>
        <v>#REF!</v>
      </c>
      <c r="U14" s="188">
        <f t="shared" si="3"/>
        <v>4</v>
      </c>
      <c r="V14" s="222"/>
      <c r="W14" s="695"/>
      <c r="Z14" s="4"/>
      <c r="AA14" s="4"/>
      <c r="AB14" s="4"/>
      <c r="AE14">
        <f t="shared" si="4"/>
        <v>8.9999999999999993E-3</v>
      </c>
      <c r="AG14">
        <f t="shared" si="5"/>
        <v>3.5999999999999997E-2</v>
      </c>
    </row>
    <row r="15" spans="3:33" ht="33" customHeight="1" thickBot="1">
      <c r="C15" s="709" t="s">
        <v>203</v>
      </c>
      <c r="D15" s="695"/>
      <c r="E15" s="696"/>
      <c r="F15" s="197">
        <f t="shared" si="6"/>
        <v>4</v>
      </c>
      <c r="G15" s="208">
        <f>'Исходные данные'!B19</f>
        <v>0</v>
      </c>
      <c r="H15" s="193" t="e">
        <f>'[1]Исходные данные'!AP13</f>
        <v>#REF!</v>
      </c>
      <c r="I15" s="193">
        <f>'[1]Исходные данные'!AQ13</f>
        <v>0</v>
      </c>
      <c r="J15" s="193">
        <f>'[1]Исходные данные'!AS13</f>
        <v>0</v>
      </c>
      <c r="K15" s="194">
        <f>'Исходные данные'!I19</f>
        <v>0</v>
      </c>
      <c r="L15" s="194">
        <f>'Исходные данные'!J19</f>
        <v>0</v>
      </c>
      <c r="M15" s="194">
        <f>'Исходные данные'!N19</f>
        <v>0</v>
      </c>
      <c r="N15" s="194">
        <f>'Исходные данные'!M19</f>
        <v>0</v>
      </c>
      <c r="O15" s="194">
        <f t="shared" si="0"/>
        <v>0</v>
      </c>
      <c r="P15" s="194">
        <f t="shared" si="1"/>
        <v>0</v>
      </c>
      <c r="Q15" s="194">
        <f t="shared" si="2"/>
        <v>-170</v>
      </c>
      <c r="R15" s="194">
        <f>'Исходные данные'!U19</f>
        <v>0</v>
      </c>
      <c r="S15" s="198" t="e">
        <f>IF('[1]Исходные данные'!AZ13=1,'[1]Исходные данные'!AT13-4,IF('[1]Исходные данные'!AZ13=3,'[1]Исходные данные'!AT13-4,IF('[1]Исходные данные'!AZ13=2,"---",IF('[1]Исходные данные'!AZ13=4,"---",))))</f>
        <v>#REF!</v>
      </c>
      <c r="T15" s="199" t="e">
        <f>'[1]Труматик гермики'!BF14</f>
        <v>#REF!</v>
      </c>
      <c r="U15" s="188">
        <f t="shared" si="3"/>
        <v>0</v>
      </c>
      <c r="V15" s="222"/>
      <c r="W15" s="695"/>
      <c r="Z15" s="4"/>
      <c r="AA15" s="4"/>
      <c r="AB15" s="4"/>
      <c r="AE15">
        <f t="shared" si="4"/>
        <v>8.9999999999999993E-3</v>
      </c>
      <c r="AG15">
        <f t="shared" si="5"/>
        <v>0</v>
      </c>
    </row>
    <row r="16" spans="3:33" ht="33" customHeight="1" thickBot="1">
      <c r="C16" s="709"/>
      <c r="D16" s="695"/>
      <c r="E16" s="696"/>
      <c r="F16" s="197">
        <f t="shared" si="6"/>
        <v>5</v>
      </c>
      <c r="G16" s="208">
        <f>'Исходные данные'!B20</f>
        <v>0</v>
      </c>
      <c r="H16" s="193" t="e">
        <f>'[1]Исходные данные'!AP14</f>
        <v>#REF!</v>
      </c>
      <c r="I16" s="193">
        <f>'[1]Исходные данные'!AQ14</f>
        <v>0</v>
      </c>
      <c r="J16" s="193">
        <f>'[1]Исходные данные'!AS14</f>
        <v>0</v>
      </c>
      <c r="K16" s="194">
        <f>'Исходные данные'!I20</f>
        <v>0</v>
      </c>
      <c r="L16" s="194">
        <f>'Исходные данные'!J20</f>
        <v>0</v>
      </c>
      <c r="M16" s="194">
        <f>'Исходные данные'!N20</f>
        <v>0</v>
      </c>
      <c r="N16" s="194">
        <f>'Исходные данные'!M20</f>
        <v>0</v>
      </c>
      <c r="O16" s="194">
        <f t="shared" si="0"/>
        <v>0</v>
      </c>
      <c r="P16" s="194">
        <f t="shared" si="1"/>
        <v>0</v>
      </c>
      <c r="Q16" s="194">
        <f t="shared" si="2"/>
        <v>-170</v>
      </c>
      <c r="R16" s="194">
        <f>'Исходные данные'!U20</f>
        <v>0</v>
      </c>
      <c r="S16" s="198" t="e">
        <f>IF('[1]Исходные данные'!AZ14=1,'[1]Исходные данные'!AT14-4,IF('[1]Исходные данные'!AZ14=3,'[1]Исходные данные'!AT14-4,IF('[1]Исходные данные'!AZ14=2,"---",IF('[1]Исходные данные'!AZ14=4,"---",))))</f>
        <v>#REF!</v>
      </c>
      <c r="T16" s="199" t="e">
        <f>'[1]Труматик гермики'!BF15</f>
        <v>#REF!</v>
      </c>
      <c r="U16" s="188">
        <f t="shared" si="3"/>
        <v>0</v>
      </c>
      <c r="V16" s="222"/>
      <c r="W16" s="695"/>
      <c r="Z16" s="4"/>
      <c r="AA16" s="4"/>
      <c r="AB16" s="4"/>
      <c r="AE16">
        <f t="shared" si="4"/>
        <v>8.9999999999999993E-3</v>
      </c>
      <c r="AG16">
        <f t="shared" si="5"/>
        <v>0</v>
      </c>
    </row>
    <row r="17" spans="3:33" ht="33" customHeight="1" thickBot="1">
      <c r="C17" s="709"/>
      <c r="D17" s="695"/>
      <c r="E17" s="696"/>
      <c r="F17" s="197">
        <f t="shared" si="6"/>
        <v>6</v>
      </c>
      <c r="G17" s="208">
        <f>'Исходные данные'!B21</f>
        <v>0</v>
      </c>
      <c r="H17" s="193" t="e">
        <f>'[1]Исходные данные'!AP15</f>
        <v>#REF!</v>
      </c>
      <c r="I17" s="193">
        <f>'[1]Исходные данные'!AQ15</f>
        <v>0</v>
      </c>
      <c r="J17" s="193">
        <f>'[1]Исходные данные'!AS15</f>
        <v>0</v>
      </c>
      <c r="K17" s="194">
        <f>'Исходные данные'!I21</f>
        <v>0</v>
      </c>
      <c r="L17" s="194">
        <f>'Исходные данные'!J21</f>
        <v>0</v>
      </c>
      <c r="M17" s="194">
        <f>'Исходные данные'!N21</f>
        <v>0</v>
      </c>
      <c r="N17" s="194">
        <f>'Исходные данные'!M21</f>
        <v>0</v>
      </c>
      <c r="O17" s="194">
        <f t="shared" si="0"/>
        <v>0</v>
      </c>
      <c r="P17" s="194">
        <f t="shared" si="1"/>
        <v>0</v>
      </c>
      <c r="Q17" s="194">
        <f t="shared" si="2"/>
        <v>-170</v>
      </c>
      <c r="R17" s="194">
        <f>'Исходные данные'!U21</f>
        <v>0</v>
      </c>
      <c r="S17" s="198" t="e">
        <f>IF('[1]Исходные данные'!AZ15=1,'[1]Исходные данные'!AT15-4,IF('[1]Исходные данные'!AZ15=3,'[1]Исходные данные'!AT15-4,IF('[1]Исходные данные'!AZ15=2,"---",IF('[1]Исходные данные'!AZ15=4,"---",))))</f>
        <v>#REF!</v>
      </c>
      <c r="T17" s="199" t="e">
        <f>'[1]Труматик гермики'!BF16</f>
        <v>#REF!</v>
      </c>
      <c r="U17" s="188">
        <f t="shared" si="3"/>
        <v>0</v>
      </c>
      <c r="V17" s="222"/>
      <c r="W17" s="695"/>
      <c r="AE17">
        <f t="shared" si="4"/>
        <v>8.9999999999999993E-3</v>
      </c>
      <c r="AG17">
        <f t="shared" si="5"/>
        <v>0</v>
      </c>
    </row>
    <row r="18" spans="3:33" ht="33" customHeight="1" thickBot="1">
      <c r="C18" s="709"/>
      <c r="D18" s="695"/>
      <c r="E18" s="696"/>
      <c r="F18" s="197">
        <f t="shared" si="6"/>
        <v>7</v>
      </c>
      <c r="G18" s="208">
        <f>'Исходные данные'!B22</f>
        <v>0</v>
      </c>
      <c r="H18" s="193" t="e">
        <f>'[1]Исходные данные'!AP16</f>
        <v>#REF!</v>
      </c>
      <c r="I18" s="193">
        <f>'[1]Исходные данные'!AQ16</f>
        <v>0</v>
      </c>
      <c r="J18" s="193">
        <f>'[1]Исходные данные'!AS16</f>
        <v>0</v>
      </c>
      <c r="K18" s="194">
        <f>'Исходные данные'!I22</f>
        <v>0</v>
      </c>
      <c r="L18" s="194">
        <f>'Исходные данные'!J22</f>
        <v>0</v>
      </c>
      <c r="M18" s="194">
        <f>'Исходные данные'!N22</f>
        <v>0</v>
      </c>
      <c r="N18" s="194">
        <f>'Исходные данные'!M22</f>
        <v>0</v>
      </c>
      <c r="O18" s="194">
        <f t="shared" si="0"/>
        <v>0</v>
      </c>
      <c r="P18" s="194">
        <f t="shared" si="1"/>
        <v>0</v>
      </c>
      <c r="Q18" s="194">
        <f t="shared" si="2"/>
        <v>-170</v>
      </c>
      <c r="R18" s="194">
        <f>'Исходные данные'!U22</f>
        <v>0</v>
      </c>
      <c r="S18" s="198" t="e">
        <f>IF('[1]Исходные данные'!AZ16=1,'[1]Исходные данные'!AT16-4,IF('[1]Исходные данные'!AZ16=3,'[1]Исходные данные'!AT16-4,IF('[1]Исходные данные'!AZ16=2,"---",IF('[1]Исходные данные'!AZ16=4,"---",))))</f>
        <v>#REF!</v>
      </c>
      <c r="T18" s="199" t="e">
        <f>'[1]Труматик гермики'!BF17</f>
        <v>#REF!</v>
      </c>
      <c r="U18" s="188">
        <f t="shared" si="3"/>
        <v>0</v>
      </c>
      <c r="V18" s="223"/>
      <c r="W18" s="695"/>
      <c r="AE18">
        <f t="shared" si="4"/>
        <v>8.9999999999999993E-3</v>
      </c>
      <c r="AG18">
        <f t="shared" si="5"/>
        <v>0</v>
      </c>
    </row>
    <row r="19" spans="3:33" ht="33" customHeight="1" thickBot="1">
      <c r="C19" s="709"/>
      <c r="D19" s="695"/>
      <c r="E19" s="696"/>
      <c r="F19" s="197">
        <f t="shared" si="6"/>
        <v>8</v>
      </c>
      <c r="G19" s="208">
        <f>'Исходные данные'!B23</f>
        <v>0</v>
      </c>
      <c r="H19" s="193" t="e">
        <f>'[1]Исходные данные'!AP17</f>
        <v>#REF!</v>
      </c>
      <c r="I19" s="193">
        <f>'[1]Исходные данные'!AQ17</f>
        <v>0</v>
      </c>
      <c r="J19" s="193">
        <f>'[1]Исходные данные'!AS17</f>
        <v>0</v>
      </c>
      <c r="K19" s="194">
        <f>'Исходные данные'!I23</f>
        <v>0</v>
      </c>
      <c r="L19" s="194">
        <f>'Исходные данные'!J23</f>
        <v>0</v>
      </c>
      <c r="M19" s="194">
        <f>'Исходные данные'!N23</f>
        <v>0</v>
      </c>
      <c r="N19" s="194">
        <f>'Исходные данные'!M23</f>
        <v>0</v>
      </c>
      <c r="O19" s="194">
        <f t="shared" si="0"/>
        <v>0</v>
      </c>
      <c r="P19" s="194">
        <f t="shared" si="1"/>
        <v>0</v>
      </c>
      <c r="Q19" s="194">
        <f t="shared" si="2"/>
        <v>-170</v>
      </c>
      <c r="R19" s="194">
        <f>'Исходные данные'!U23</f>
        <v>0</v>
      </c>
      <c r="S19" s="198" t="e">
        <f>IF('[1]Исходные данные'!AZ17=1,'[1]Исходные данные'!AT17-4,IF('[1]Исходные данные'!AZ17=3,'[1]Исходные данные'!AT17-4,IF('[1]Исходные данные'!AZ17=2,"---",IF('[1]Исходные данные'!AZ17=4,"---",))))</f>
        <v>#REF!</v>
      </c>
      <c r="T19" s="199" t="e">
        <f>'[1]Труматик гермики'!BF18</f>
        <v>#REF!</v>
      </c>
      <c r="U19" s="188">
        <f t="shared" si="3"/>
        <v>0</v>
      </c>
      <c r="V19" s="223"/>
      <c r="W19" s="695"/>
      <c r="AE19">
        <f t="shared" si="4"/>
        <v>8.9999999999999993E-3</v>
      </c>
      <c r="AG19">
        <f t="shared" si="5"/>
        <v>0</v>
      </c>
    </row>
    <row r="20" spans="3:33" ht="33" customHeight="1" thickBot="1">
      <c r="C20" s="709"/>
      <c r="D20" s="695"/>
      <c r="E20" s="696"/>
      <c r="F20" s="197">
        <f t="shared" si="6"/>
        <v>9</v>
      </c>
      <c r="G20" s="208">
        <f>'Исходные данные'!B24</f>
        <v>0</v>
      </c>
      <c r="H20" s="193" t="e">
        <f>'[1]Исходные данные'!AP18</f>
        <v>#REF!</v>
      </c>
      <c r="I20" s="193">
        <f>'[1]Исходные данные'!AQ18</f>
        <v>0</v>
      </c>
      <c r="J20" s="193">
        <f>'[1]Исходные данные'!AS18</f>
        <v>0</v>
      </c>
      <c r="K20" s="194">
        <f>'Исходные данные'!I24</f>
        <v>0</v>
      </c>
      <c r="L20" s="194">
        <f>'Исходные данные'!J24</f>
        <v>0</v>
      </c>
      <c r="M20" s="194">
        <f>'Исходные данные'!N24</f>
        <v>0</v>
      </c>
      <c r="N20" s="194">
        <f>'Исходные данные'!M24</f>
        <v>0</v>
      </c>
      <c r="O20" s="194">
        <f t="shared" si="0"/>
        <v>0</v>
      </c>
      <c r="P20" s="194">
        <f t="shared" si="1"/>
        <v>0</v>
      </c>
      <c r="Q20" s="194">
        <f t="shared" si="2"/>
        <v>-170</v>
      </c>
      <c r="R20" s="194">
        <f>'Исходные данные'!U24</f>
        <v>0</v>
      </c>
      <c r="S20" s="198" t="e">
        <f>IF('[1]Исходные данные'!AZ18=1,'[1]Исходные данные'!AT18-4,IF('[1]Исходные данные'!AZ18=3,'[1]Исходные данные'!AT18-4,IF('[1]Исходные данные'!AZ18=2,"---",IF('[1]Исходные данные'!AZ18=4,"---",))))</f>
        <v>#REF!</v>
      </c>
      <c r="T20" s="199" t="e">
        <f>'[1]Труматик гермики'!BF19</f>
        <v>#REF!</v>
      </c>
      <c r="U20" s="188">
        <f t="shared" si="3"/>
        <v>0</v>
      </c>
      <c r="V20" s="223"/>
      <c r="W20" s="695"/>
      <c r="AE20">
        <f t="shared" si="4"/>
        <v>8.9999999999999993E-3</v>
      </c>
      <c r="AG20">
        <f t="shared" si="5"/>
        <v>0</v>
      </c>
    </row>
    <row r="21" spans="3:33" ht="33" customHeight="1" thickBot="1">
      <c r="C21" s="709"/>
      <c r="D21" s="695"/>
      <c r="E21" s="696"/>
      <c r="F21" s="197">
        <f t="shared" si="6"/>
        <v>10</v>
      </c>
      <c r="G21" s="208">
        <f>'Исходные данные'!B25</f>
        <v>0</v>
      </c>
      <c r="H21" s="193" t="e">
        <f>'[1]Исходные данные'!AP19</f>
        <v>#REF!</v>
      </c>
      <c r="I21" s="193">
        <f>'[1]Исходные данные'!AQ19</f>
        <v>0</v>
      </c>
      <c r="J21" s="193">
        <f>'[1]Исходные данные'!AS19</f>
        <v>0</v>
      </c>
      <c r="K21" s="194">
        <f>'Исходные данные'!I25</f>
        <v>0</v>
      </c>
      <c r="L21" s="194">
        <f>'Исходные данные'!J25</f>
        <v>0</v>
      </c>
      <c r="M21" s="194">
        <f>'Исходные данные'!N25</f>
        <v>0</v>
      </c>
      <c r="N21" s="194">
        <f>'Исходные данные'!M25</f>
        <v>0</v>
      </c>
      <c r="O21" s="194">
        <f t="shared" si="0"/>
        <v>0</v>
      </c>
      <c r="P21" s="194">
        <f t="shared" si="1"/>
        <v>0</v>
      </c>
      <c r="Q21" s="194">
        <f t="shared" si="2"/>
        <v>-170</v>
      </c>
      <c r="R21" s="194">
        <f>'Исходные данные'!U25</f>
        <v>0</v>
      </c>
      <c r="S21" s="198" t="e">
        <f>IF('[1]Исходные данные'!AZ19=1,'[1]Исходные данные'!AT19-4,IF('[1]Исходные данные'!AZ19=3,'[1]Исходные данные'!AT19-4,IF('[1]Исходные данные'!AZ19=2,"---",IF('[1]Исходные данные'!AZ19=4,"---",))))</f>
        <v>#REF!</v>
      </c>
      <c r="T21" s="199" t="e">
        <f>'[1]Труматик гермики'!BF20</f>
        <v>#REF!</v>
      </c>
      <c r="U21" s="188">
        <f t="shared" si="3"/>
        <v>0</v>
      </c>
      <c r="V21" s="224"/>
      <c r="W21" s="695"/>
      <c r="AE21">
        <f t="shared" si="4"/>
        <v>8.9999999999999993E-3</v>
      </c>
      <c r="AG21">
        <f t="shared" si="5"/>
        <v>0</v>
      </c>
    </row>
    <row r="22" spans="3:33" ht="21" customHeight="1" thickBot="1">
      <c r="C22" s="709"/>
      <c r="D22" s="695"/>
      <c r="E22" s="696"/>
      <c r="F22" s="197">
        <f t="shared" si="6"/>
        <v>11</v>
      </c>
      <c r="G22" s="208">
        <f>'Исходные данные'!B26</f>
        <v>0</v>
      </c>
      <c r="H22" s="193" t="e">
        <f>'[1]Исходные данные'!AP20</f>
        <v>#REF!</v>
      </c>
      <c r="I22" s="193">
        <f>'[1]Исходные данные'!AQ20</f>
        <v>0</v>
      </c>
      <c r="J22" s="193">
        <f>'[1]Исходные данные'!AS20</f>
        <v>0</v>
      </c>
      <c r="K22" s="194">
        <f>'Исходные данные'!I26</f>
        <v>0</v>
      </c>
      <c r="L22" s="194">
        <f>'Исходные данные'!J26</f>
        <v>0</v>
      </c>
      <c r="M22" s="194">
        <f>'Исходные данные'!N26</f>
        <v>0</v>
      </c>
      <c r="N22" s="194">
        <f>'Исходные данные'!M26</f>
        <v>0</v>
      </c>
      <c r="O22" s="194">
        <f t="shared" si="0"/>
        <v>0</v>
      </c>
      <c r="P22" s="194">
        <f t="shared" si="1"/>
        <v>0</v>
      </c>
      <c r="Q22" s="194">
        <f t="shared" si="2"/>
        <v>-170</v>
      </c>
      <c r="R22" s="194">
        <f>'Исходные данные'!U26</f>
        <v>0</v>
      </c>
      <c r="S22" s="198" t="e">
        <f>IF('[1]Исходные данные'!AZ20=1,'[1]Исходные данные'!AT20-4,IF('[1]Исходные данные'!AZ20=3,'[1]Исходные данные'!AT20-4,IF('[1]Исходные данные'!AZ20=2,"---",IF('[1]Исходные данные'!AZ20=4,"---",))))</f>
        <v>#REF!</v>
      </c>
      <c r="T22" s="199" t="e">
        <f>'[1]Труматик гермики'!BF21</f>
        <v>#REF!</v>
      </c>
      <c r="U22" s="188">
        <f t="shared" si="3"/>
        <v>0</v>
      </c>
      <c r="V22" s="224"/>
      <c r="W22" s="695"/>
      <c r="AE22">
        <f t="shared" si="4"/>
        <v>8.9999999999999993E-3</v>
      </c>
      <c r="AG22">
        <f t="shared" si="5"/>
        <v>0</v>
      </c>
    </row>
    <row r="23" spans="3:33" ht="21" customHeight="1" thickBot="1">
      <c r="C23" s="709"/>
      <c r="D23" s="695"/>
      <c r="E23" s="696"/>
      <c r="F23" s="197">
        <f t="shared" si="6"/>
        <v>12</v>
      </c>
      <c r="G23" s="208">
        <f>'Исходные данные'!B27</f>
        <v>0</v>
      </c>
      <c r="H23" s="193" t="e">
        <f>'[1]Исходные данные'!AP21</f>
        <v>#REF!</v>
      </c>
      <c r="I23" s="193">
        <f>'[1]Исходные данные'!AQ21</f>
        <v>0</v>
      </c>
      <c r="J23" s="193">
        <f>'[1]Исходные данные'!AS21</f>
        <v>0</v>
      </c>
      <c r="K23" s="194">
        <f>'Исходные данные'!I27</f>
        <v>0</v>
      </c>
      <c r="L23" s="194">
        <f>'Исходные данные'!J27</f>
        <v>0</v>
      </c>
      <c r="M23" s="194">
        <f>'Исходные данные'!N27</f>
        <v>0</v>
      </c>
      <c r="N23" s="194">
        <f>'Исходные данные'!M27</f>
        <v>0</v>
      </c>
      <c r="O23" s="194">
        <f t="shared" si="0"/>
        <v>0</v>
      </c>
      <c r="P23" s="194">
        <f t="shared" si="1"/>
        <v>0</v>
      </c>
      <c r="Q23" s="194">
        <f t="shared" si="2"/>
        <v>-170</v>
      </c>
      <c r="R23" s="194">
        <f>'Исходные данные'!U27</f>
        <v>0</v>
      </c>
      <c r="S23" s="198" t="e">
        <f>IF('[1]Исходные данные'!AZ21=1,'[1]Исходные данные'!AT21-4,IF('[1]Исходные данные'!AZ21=3,'[1]Исходные данные'!AT21-4,IF('[1]Исходные данные'!AZ21=2,"---",IF('[1]Исходные данные'!AZ21=4,"---",))))</f>
        <v>#REF!</v>
      </c>
      <c r="T23" s="199" t="e">
        <f>'[1]Труматик гермики'!BF22</f>
        <v>#REF!</v>
      </c>
      <c r="U23" s="188">
        <f t="shared" si="3"/>
        <v>0</v>
      </c>
      <c r="V23" s="224"/>
      <c r="W23" s="695"/>
      <c r="AE23">
        <f t="shared" si="4"/>
        <v>8.9999999999999993E-3</v>
      </c>
      <c r="AG23">
        <f t="shared" si="5"/>
        <v>0</v>
      </c>
    </row>
    <row r="24" spans="3:33" ht="21" customHeight="1" thickBot="1">
      <c r="C24" s="709"/>
      <c r="D24" s="695"/>
      <c r="E24" s="191"/>
      <c r="F24" s="197">
        <f t="shared" si="6"/>
        <v>13</v>
      </c>
      <c r="G24" s="208">
        <f>'Исходные данные'!B28</f>
        <v>0</v>
      </c>
      <c r="H24" s="193" t="e">
        <f>'[1]Исходные данные'!AP22</f>
        <v>#REF!</v>
      </c>
      <c r="I24" s="193">
        <f>'[1]Исходные данные'!AQ22</f>
        <v>0</v>
      </c>
      <c r="J24" s="193">
        <f>'[1]Исходные данные'!AS22</f>
        <v>0</v>
      </c>
      <c r="K24" s="194">
        <f>'Исходные данные'!I28</f>
        <v>0</v>
      </c>
      <c r="L24" s="194">
        <f>'Исходные данные'!J28</f>
        <v>0</v>
      </c>
      <c r="M24" s="194">
        <f>'Исходные данные'!N28</f>
        <v>0</v>
      </c>
      <c r="N24" s="194">
        <f>'Исходные данные'!M28</f>
        <v>0</v>
      </c>
      <c r="O24" s="194">
        <f t="shared" si="0"/>
        <v>0</v>
      </c>
      <c r="P24" s="194">
        <f t="shared" si="1"/>
        <v>0</v>
      </c>
      <c r="Q24" s="194">
        <f t="shared" si="2"/>
        <v>-170</v>
      </c>
      <c r="R24" s="194">
        <f>'Исходные данные'!U28</f>
        <v>0</v>
      </c>
      <c r="S24" s="198" t="e">
        <f>IF('[1]Исходные данные'!AZ22=1,'[1]Исходные данные'!AT22-4,IF('[1]Исходные данные'!AZ22=3,'[1]Исходные данные'!AT22-4,IF('[1]Исходные данные'!AZ22=2,"---",IF('[1]Исходные данные'!AZ22=4,"---",))))</f>
        <v>#REF!</v>
      </c>
      <c r="T24" s="199" t="e">
        <f>'[1]Труматик гермики'!BF23</f>
        <v>#REF!</v>
      </c>
      <c r="U24" s="188">
        <f t="shared" si="3"/>
        <v>0</v>
      </c>
      <c r="V24" s="224"/>
      <c r="W24" s="695"/>
      <c r="AE24">
        <f t="shared" si="4"/>
        <v>8.9999999999999993E-3</v>
      </c>
      <c r="AG24">
        <f t="shared" si="5"/>
        <v>0</v>
      </c>
    </row>
    <row r="25" spans="3:33" ht="21" customHeight="1" thickBot="1">
      <c r="C25" s="709"/>
      <c r="D25" s="695"/>
      <c r="E25" s="191"/>
      <c r="F25" s="197">
        <f t="shared" si="6"/>
        <v>14</v>
      </c>
      <c r="G25" s="208">
        <f>'Исходные данные'!B29</f>
        <v>0</v>
      </c>
      <c r="H25" s="193" t="e">
        <f>'[1]Исходные данные'!AP23</f>
        <v>#REF!</v>
      </c>
      <c r="I25" s="193">
        <f>'[1]Исходные данные'!AQ23</f>
        <v>0</v>
      </c>
      <c r="J25" s="193">
        <f>'[1]Исходные данные'!AS23</f>
        <v>0</v>
      </c>
      <c r="K25" s="194">
        <f>'Исходные данные'!I29</f>
        <v>0</v>
      </c>
      <c r="L25" s="194">
        <f>'Исходные данные'!J29</f>
        <v>0</v>
      </c>
      <c r="M25" s="194" t="str">
        <f>'Исходные данные'!N29</f>
        <v>-</v>
      </c>
      <c r="N25" s="194">
        <f>'Исходные данные'!M29</f>
        <v>0</v>
      </c>
      <c r="O25" s="194">
        <f t="shared" si="0"/>
        <v>0</v>
      </c>
      <c r="P25" s="194">
        <f t="shared" si="1"/>
        <v>0</v>
      </c>
      <c r="Q25" s="194">
        <f t="shared" si="2"/>
        <v>-170</v>
      </c>
      <c r="R25" s="194">
        <f>'Исходные данные'!U29</f>
        <v>0</v>
      </c>
      <c r="S25" s="198" t="e">
        <f>IF('[1]Исходные данные'!AZ23=1,'[1]Исходные данные'!AT23-4,IF('[1]Исходные данные'!AZ23=3,'[1]Исходные данные'!AT23-4,IF('[1]Исходные данные'!AZ23=2,"---",IF('[1]Исходные данные'!AZ23=4,"---",))))</f>
        <v>#REF!</v>
      </c>
      <c r="T25" s="199" t="e">
        <f>'[1]Труматик гермики'!BF24</f>
        <v>#REF!</v>
      </c>
      <c r="U25" s="188">
        <f t="shared" si="3"/>
        <v>0</v>
      </c>
      <c r="V25" s="224"/>
      <c r="W25" s="695"/>
      <c r="AE25">
        <f t="shared" si="4"/>
        <v>8.9999999999999993E-3</v>
      </c>
      <c r="AG25">
        <f t="shared" si="5"/>
        <v>0</v>
      </c>
    </row>
    <row r="26" spans="3:33" ht="21" customHeight="1" thickBot="1">
      <c r="C26" s="709"/>
      <c r="D26" s="695"/>
      <c r="E26" s="191"/>
      <c r="F26" s="197">
        <f t="shared" si="6"/>
        <v>15</v>
      </c>
      <c r="G26" s="208">
        <f>'Исходные данные'!B30</f>
        <v>0</v>
      </c>
      <c r="H26" s="193" t="e">
        <f>'[1]Исходные данные'!AP24</f>
        <v>#REF!</v>
      </c>
      <c r="I26" s="193">
        <f>'[1]Исходные данные'!AQ24</f>
        <v>0</v>
      </c>
      <c r="J26" s="193">
        <f>'[1]Исходные данные'!AS24</f>
        <v>0</v>
      </c>
      <c r="K26" s="194">
        <f>'Исходные данные'!I30</f>
        <v>0</v>
      </c>
      <c r="L26" s="194">
        <f>'Исходные данные'!J30</f>
        <v>0</v>
      </c>
      <c r="M26" s="194" t="str">
        <f>'Исходные данные'!N30</f>
        <v>-</v>
      </c>
      <c r="N26" s="194">
        <f>'Исходные данные'!M30</f>
        <v>0</v>
      </c>
      <c r="O26" s="194">
        <f t="shared" si="0"/>
        <v>0</v>
      </c>
      <c r="P26" s="194">
        <f t="shared" si="1"/>
        <v>0</v>
      </c>
      <c r="Q26" s="194">
        <f t="shared" si="2"/>
        <v>-170</v>
      </c>
      <c r="R26" s="194">
        <f>'Исходные данные'!U30</f>
        <v>0</v>
      </c>
      <c r="S26" s="198" t="e">
        <f>IF('[1]Исходные данные'!AZ24=1,'[1]Исходные данные'!AT24-4,IF('[1]Исходные данные'!AZ24=3,'[1]Исходные данные'!AT24-4,IF('[1]Исходные данные'!AZ24=2,"---",IF('[1]Исходные данные'!AZ24=4,"---",))))</f>
        <v>#REF!</v>
      </c>
      <c r="T26" s="199" t="e">
        <f>'[1]Труматик гермики'!BF25</f>
        <v>#REF!</v>
      </c>
      <c r="U26" s="188">
        <f t="shared" si="3"/>
        <v>0</v>
      </c>
      <c r="V26" s="224"/>
      <c r="W26" s="695"/>
      <c r="AE26">
        <f t="shared" si="4"/>
        <v>8.9999999999999993E-3</v>
      </c>
      <c r="AG26">
        <f t="shared" si="5"/>
        <v>0</v>
      </c>
    </row>
    <row r="27" spans="3:33">
      <c r="F27" s="202"/>
      <c r="G27" s="179"/>
      <c r="H27" s="179"/>
      <c r="I27" s="179"/>
      <c r="J27" s="179"/>
      <c r="K27" s="179"/>
      <c r="L27" s="179"/>
      <c r="M27" s="179"/>
      <c r="N27" s="179"/>
      <c r="O27" s="207"/>
      <c r="P27" s="179"/>
      <c r="Q27" s="180"/>
      <c r="R27" s="203"/>
      <c r="S27" s="204"/>
      <c r="T27" s="204"/>
    </row>
    <row r="28" spans="3:33">
      <c r="F28" s="202"/>
      <c r="G28" s="179"/>
      <c r="H28" s="179"/>
      <c r="I28" s="179"/>
      <c r="J28" s="179"/>
      <c r="K28" s="179"/>
      <c r="L28" s="179"/>
      <c r="M28" s="179"/>
      <c r="N28" s="179"/>
      <c r="O28" s="207"/>
      <c r="P28" s="179"/>
      <c r="Q28" s="180"/>
      <c r="R28" s="179"/>
      <c r="S28" s="186"/>
      <c r="T28" s="186"/>
    </row>
    <row r="29" spans="3:33">
      <c r="F29" s="202"/>
      <c r="G29" s="179"/>
      <c r="H29" s="179"/>
      <c r="I29" s="179"/>
      <c r="J29" s="179"/>
      <c r="K29" s="179"/>
      <c r="L29" s="179"/>
      <c r="M29" s="179"/>
      <c r="N29" s="179"/>
      <c r="O29" s="207"/>
      <c r="P29" s="179"/>
      <c r="Q29" s="180"/>
      <c r="R29" s="179"/>
      <c r="S29" s="186"/>
      <c r="T29" s="186"/>
    </row>
    <row r="30" spans="3:33"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79"/>
      <c r="T30" s="179"/>
    </row>
    <row r="31" spans="3:33"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79"/>
      <c r="T31" s="179"/>
    </row>
    <row r="32" spans="3:33" ht="28.5">
      <c r="E32" s="10"/>
      <c r="F32" s="10"/>
      <c r="G32" s="10" t="s">
        <v>191</v>
      </c>
      <c r="H32" s="5"/>
      <c r="I32" s="5"/>
      <c r="J32" s="205" t="e">
        <f>AB12+AB13+AB14+AB15+AB16+AB17+AB18+AB19+AB20+AB21+AB22+AB23+AB24+AB25+AB26+#REF!+#REF!+#REF!+#REF!+#REF!+#REF!</f>
        <v>#REF!</v>
      </c>
      <c r="K32" s="225">
        <f>SUM(AG12:AG26)</f>
        <v>3.5999999999999997E-2</v>
      </c>
      <c r="L32" s="205"/>
      <c r="M32" s="205"/>
      <c r="N32" s="205"/>
      <c r="O32" s="205"/>
      <c r="P32" s="5"/>
      <c r="Q32" s="5"/>
      <c r="R32" s="5"/>
      <c r="S32" s="665"/>
      <c r="T32" s="665"/>
    </row>
    <row r="33" spans="1:24">
      <c r="E33" s="10"/>
      <c r="F33" s="10"/>
      <c r="G33" s="10" t="s">
        <v>216</v>
      </c>
      <c r="H33" s="10"/>
      <c r="I33" s="10"/>
      <c r="P33" s="10"/>
      <c r="Q33" s="10"/>
      <c r="R33" s="10"/>
      <c r="S33" s="10"/>
      <c r="T33" s="10"/>
    </row>
    <row r="34" spans="1:24" ht="18.75">
      <c r="F34" s="209"/>
      <c r="G34" s="210" t="s">
        <v>219</v>
      </c>
      <c r="H34" s="211"/>
      <c r="I34" s="211"/>
      <c r="J34" s="211"/>
      <c r="K34" s="211"/>
      <c r="L34" s="211"/>
      <c r="M34" s="211"/>
      <c r="N34" s="211"/>
      <c r="O34" s="211"/>
      <c r="P34" s="212"/>
      <c r="Q34" s="212"/>
      <c r="R34" s="212"/>
      <c r="S34" s="212"/>
      <c r="T34" s="212"/>
      <c r="U34" s="212"/>
      <c r="V34" s="213"/>
      <c r="W34" s="179"/>
    </row>
    <row r="35" spans="1:24" ht="19.5" thickBot="1">
      <c r="A35" s="227"/>
      <c r="B35" s="227"/>
      <c r="C35" s="227"/>
      <c r="D35" s="227"/>
      <c r="E35" s="227"/>
      <c r="F35" s="228"/>
      <c r="G35" s="229"/>
      <c r="H35" s="230"/>
      <c r="I35" s="230"/>
      <c r="J35" s="230"/>
      <c r="K35" s="230"/>
      <c r="L35" s="230"/>
      <c r="M35" s="230"/>
      <c r="N35" s="230"/>
      <c r="O35" s="230"/>
      <c r="P35" s="231"/>
      <c r="Q35" s="231"/>
      <c r="R35" s="231"/>
      <c r="S35" s="231"/>
      <c r="T35" s="231"/>
      <c r="U35" s="231"/>
      <c r="V35" s="230"/>
      <c r="W35" s="232"/>
      <c r="X35" s="227"/>
    </row>
    <row r="36" spans="1:24" ht="30.75" thickTop="1">
      <c r="F36" s="213"/>
      <c r="G36" s="209" t="s">
        <v>214</v>
      </c>
      <c r="H36" s="209"/>
      <c r="I36" s="209"/>
      <c r="J36" s="209"/>
      <c r="K36" s="209"/>
      <c r="L36" s="209"/>
      <c r="M36" s="209"/>
      <c r="N36" s="209"/>
      <c r="O36" s="209"/>
      <c r="P36" s="701">
        <f>C6</f>
        <v>4444</v>
      </c>
      <c r="Q36" s="701"/>
      <c r="R36" s="701"/>
      <c r="S36" s="701"/>
      <c r="T36" s="701"/>
      <c r="U36" s="214"/>
      <c r="V36" s="213"/>
      <c r="W36" s="44"/>
    </row>
    <row r="37" spans="1:24" ht="21">
      <c r="E37" s="10"/>
      <c r="F37" s="213"/>
      <c r="G37" s="209"/>
      <c r="H37" s="209"/>
      <c r="I37" s="209"/>
      <c r="J37" s="209"/>
      <c r="K37" s="209"/>
      <c r="L37" s="209"/>
      <c r="M37" s="209"/>
      <c r="N37" s="209"/>
      <c r="O37" s="209"/>
      <c r="P37" s="215"/>
      <c r="Q37" s="215"/>
      <c r="R37" s="215"/>
      <c r="S37" s="215"/>
      <c r="T37" s="215"/>
      <c r="U37" s="215"/>
      <c r="V37" s="213"/>
      <c r="W37" s="44"/>
    </row>
    <row r="38" spans="1:24" ht="35.25">
      <c r="E38" s="10"/>
      <c r="F38" s="216"/>
      <c r="G38" s="209" t="s">
        <v>215</v>
      </c>
      <c r="H38" s="209"/>
      <c r="I38" s="217">
        <f>P9</f>
        <v>0</v>
      </c>
      <c r="J38" s="209" t="s">
        <v>207</v>
      </c>
      <c r="K38" s="226">
        <f>SUM(U12:U26)</f>
        <v>4</v>
      </c>
      <c r="L38" s="209"/>
      <c r="M38" s="209"/>
      <c r="N38" s="209"/>
      <c r="O38" s="209"/>
      <c r="P38" s="215"/>
      <c r="Q38" s="215"/>
      <c r="R38" s="215"/>
      <c r="S38" s="215"/>
      <c r="T38" s="215"/>
      <c r="U38" s="215"/>
      <c r="V38" s="213"/>
      <c r="W38" s="33"/>
    </row>
    <row r="39" spans="1:24" ht="21">
      <c r="E39" s="10"/>
      <c r="F39" s="216"/>
      <c r="G39" s="209"/>
      <c r="H39" s="209"/>
      <c r="I39" s="209"/>
      <c r="J39" s="209"/>
      <c r="K39" s="209"/>
      <c r="L39" s="209"/>
      <c r="M39" s="209"/>
      <c r="N39" s="209" t="s">
        <v>208</v>
      </c>
      <c r="O39" s="209"/>
      <c r="P39" s="209"/>
      <c r="Q39" s="209"/>
      <c r="R39" s="209"/>
      <c r="S39" s="209"/>
      <c r="T39" s="215"/>
      <c r="U39" s="215"/>
      <c r="V39" s="213"/>
      <c r="W39" s="33"/>
    </row>
    <row r="40" spans="1:24" ht="21">
      <c r="E40" s="10"/>
      <c r="F40" s="216"/>
      <c r="G40" s="209"/>
      <c r="H40" s="209"/>
      <c r="I40" s="218">
        <f>J11</f>
        <v>0</v>
      </c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15"/>
      <c r="U40" s="215"/>
      <c r="V40" s="213"/>
      <c r="W40" s="33"/>
    </row>
    <row r="41" spans="1:24" ht="21">
      <c r="F41" s="216"/>
      <c r="G41" s="209"/>
      <c r="H41" s="209"/>
      <c r="I41" s="209"/>
      <c r="J41" s="209"/>
      <c r="K41" s="209"/>
      <c r="L41" s="209"/>
      <c r="M41" s="209"/>
      <c r="N41" s="209" t="s">
        <v>209</v>
      </c>
      <c r="O41" s="209"/>
      <c r="P41" s="209"/>
      <c r="Q41" s="209"/>
      <c r="R41" s="209"/>
      <c r="S41" s="209"/>
      <c r="T41" s="215"/>
      <c r="U41" s="215"/>
      <c r="V41" s="213"/>
      <c r="W41" s="33"/>
    </row>
    <row r="42" spans="1:24" ht="21">
      <c r="F42" s="216"/>
      <c r="G42" s="209"/>
      <c r="H42" s="209"/>
      <c r="I42" s="209"/>
      <c r="J42" s="209" t="s">
        <v>208</v>
      </c>
      <c r="K42" s="209"/>
      <c r="L42" s="209"/>
      <c r="M42" s="209"/>
      <c r="N42" s="209"/>
      <c r="O42" s="209"/>
      <c r="P42" s="209"/>
      <c r="Q42" s="209"/>
      <c r="R42" s="209"/>
      <c r="S42" s="209"/>
      <c r="T42" s="215"/>
      <c r="U42" s="215"/>
      <c r="V42" s="213"/>
      <c r="W42" s="33"/>
    </row>
    <row r="43" spans="1:24" ht="18.75" hidden="1">
      <c r="F43" s="216"/>
      <c r="G43" s="209"/>
      <c r="H43" s="209"/>
      <c r="I43" s="209"/>
      <c r="J43" s="209"/>
      <c r="K43" s="209"/>
      <c r="L43" s="209"/>
      <c r="M43" s="209"/>
      <c r="N43" s="209"/>
      <c r="O43" s="209"/>
      <c r="P43" s="215"/>
      <c r="Q43" s="215"/>
      <c r="R43" s="215"/>
      <c r="S43" s="215"/>
      <c r="T43" s="215"/>
      <c r="U43" s="215"/>
      <c r="V43" s="213"/>
    </row>
    <row r="44" spans="1:24" ht="18.75" hidden="1">
      <c r="F44" s="216"/>
      <c r="G44" s="209"/>
      <c r="H44" s="209"/>
      <c r="I44" s="209"/>
      <c r="J44" s="209" t="s">
        <v>209</v>
      </c>
      <c r="K44" s="209"/>
      <c r="L44" s="209"/>
      <c r="M44" s="209"/>
      <c r="N44" s="209"/>
      <c r="O44" s="209"/>
      <c r="P44" s="215"/>
      <c r="Q44" s="215"/>
      <c r="R44" s="215"/>
      <c r="S44" s="215"/>
      <c r="T44" s="215"/>
      <c r="U44" s="215"/>
      <c r="V44" s="213"/>
    </row>
    <row r="45" spans="1:24" ht="18.75" hidden="1">
      <c r="F45" s="216"/>
      <c r="G45" s="209"/>
      <c r="H45" s="209"/>
      <c r="I45" s="209"/>
      <c r="J45" s="209"/>
      <c r="K45" s="209"/>
      <c r="L45" s="209"/>
      <c r="M45" s="209"/>
      <c r="N45" s="209"/>
      <c r="O45" s="209"/>
      <c r="P45" s="215"/>
      <c r="Q45" s="215"/>
      <c r="R45" s="215"/>
      <c r="S45" s="215"/>
      <c r="T45" s="215"/>
      <c r="U45" s="215"/>
      <c r="V45" s="213"/>
    </row>
    <row r="46" spans="1:24" ht="18.75" hidden="1">
      <c r="F46" s="216"/>
      <c r="G46" s="209"/>
      <c r="H46" s="209"/>
      <c r="I46" s="209"/>
      <c r="J46" s="209"/>
      <c r="K46" s="209"/>
      <c r="L46" s="209"/>
      <c r="M46" s="209"/>
      <c r="N46" s="209"/>
      <c r="O46" s="209"/>
      <c r="P46" s="215"/>
      <c r="Q46" s="215"/>
      <c r="R46" s="215"/>
      <c r="S46" s="215"/>
      <c r="T46" s="215"/>
      <c r="U46" s="215"/>
      <c r="V46" s="213"/>
    </row>
    <row r="47" spans="1:24" ht="18.75">
      <c r="F47" s="216"/>
      <c r="G47" s="209" t="s">
        <v>210</v>
      </c>
      <c r="H47" s="209"/>
      <c r="I47" s="209"/>
      <c r="J47" s="209"/>
      <c r="K47" s="209"/>
      <c r="L47" s="209"/>
      <c r="M47" s="209"/>
      <c r="N47" s="209"/>
      <c r="O47" s="209"/>
      <c r="P47" s="215"/>
      <c r="Q47" s="215"/>
      <c r="R47" s="215"/>
      <c r="S47" s="215"/>
      <c r="T47" s="215"/>
      <c r="U47" s="215"/>
      <c r="V47" s="213"/>
    </row>
    <row r="48" spans="1:24"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</row>
    <row r="49" spans="6:22" ht="18.75">
      <c r="F49" s="209" t="s">
        <v>204</v>
      </c>
      <c r="G49" s="210"/>
      <c r="H49" s="211"/>
      <c r="I49" s="211"/>
      <c r="J49" s="211"/>
      <c r="K49" s="211"/>
      <c r="L49" s="211"/>
      <c r="M49" s="211"/>
      <c r="N49" s="211"/>
      <c r="O49" s="211"/>
      <c r="P49" s="212"/>
      <c r="Q49" s="212"/>
      <c r="R49" s="212"/>
      <c r="S49" s="212"/>
      <c r="T49" s="212"/>
      <c r="U49" s="212"/>
      <c r="V49" s="213"/>
    </row>
    <row r="50" spans="6:22" ht="30">
      <c r="F50" s="213"/>
      <c r="G50" s="209" t="s">
        <v>205</v>
      </c>
      <c r="H50" s="209"/>
      <c r="I50" s="209"/>
      <c r="J50" s="209"/>
      <c r="K50" s="209"/>
      <c r="L50" s="209"/>
      <c r="M50" s="209"/>
      <c r="N50" s="209"/>
      <c r="O50" s="209"/>
      <c r="P50" s="701">
        <f>P36</f>
        <v>4444</v>
      </c>
      <c r="Q50" s="701"/>
      <c r="R50" s="701"/>
      <c r="S50" s="701"/>
      <c r="T50" s="701"/>
      <c r="U50" s="214"/>
      <c r="V50" s="213"/>
    </row>
    <row r="51" spans="6:22" ht="18.75">
      <c r="F51" s="213"/>
      <c r="G51" s="209"/>
      <c r="H51" s="209"/>
      <c r="I51" s="209"/>
      <c r="J51" s="209"/>
      <c r="K51" s="209"/>
      <c r="L51" s="209"/>
      <c r="M51" s="209"/>
      <c r="N51" s="209"/>
      <c r="O51" s="209"/>
      <c r="P51" s="215"/>
      <c r="Q51" s="215"/>
      <c r="R51" s="215"/>
      <c r="S51" s="215"/>
      <c r="T51" s="215"/>
      <c r="U51" s="215"/>
      <c r="V51" s="213"/>
    </row>
    <row r="52" spans="6:22" ht="35.25">
      <c r="F52" s="216"/>
      <c r="G52" s="209" t="s">
        <v>206</v>
      </c>
      <c r="H52" s="209"/>
      <c r="I52" s="217">
        <f>P9</f>
        <v>0</v>
      </c>
      <c r="J52" s="209" t="s">
        <v>207</v>
      </c>
      <c r="K52" s="209"/>
      <c r="L52" s="226">
        <f>K38</f>
        <v>4</v>
      </c>
      <c r="M52" s="209"/>
      <c r="N52" s="209"/>
      <c r="O52" s="209"/>
      <c r="P52" s="215"/>
      <c r="Q52" s="215"/>
      <c r="R52" s="215"/>
      <c r="S52" s="215"/>
      <c r="T52" s="215"/>
      <c r="U52" s="215"/>
      <c r="V52" s="213"/>
    </row>
    <row r="53" spans="6:22" ht="18.75">
      <c r="F53" s="216"/>
      <c r="G53" s="209"/>
      <c r="H53" s="209"/>
      <c r="I53" s="209"/>
      <c r="J53" s="209"/>
      <c r="K53" s="209"/>
      <c r="L53" s="209"/>
      <c r="M53" s="209"/>
      <c r="N53" s="209"/>
      <c r="O53" s="209"/>
      <c r="P53" s="215"/>
      <c r="Q53" s="215"/>
      <c r="R53" s="215"/>
      <c r="S53" s="215"/>
      <c r="T53" s="215"/>
      <c r="U53" s="215"/>
      <c r="V53" s="213"/>
    </row>
    <row r="54" spans="6:22" ht="20.25">
      <c r="F54" s="216"/>
      <c r="G54" s="209"/>
      <c r="H54" s="209"/>
      <c r="I54" s="218">
        <f>J11</f>
        <v>0</v>
      </c>
      <c r="J54" s="209"/>
      <c r="K54" s="209"/>
      <c r="L54" s="209"/>
      <c r="M54" s="209"/>
      <c r="N54" s="209" t="s">
        <v>208</v>
      </c>
      <c r="O54" s="209"/>
      <c r="P54" s="209"/>
      <c r="Q54" s="209"/>
      <c r="R54" s="209"/>
      <c r="S54" s="215"/>
      <c r="T54" s="215"/>
      <c r="U54" s="215"/>
      <c r="V54" s="213"/>
    </row>
    <row r="55" spans="6:22" ht="18.75">
      <c r="F55" s="216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15"/>
      <c r="T55" s="215"/>
      <c r="U55" s="215"/>
      <c r="V55" s="213"/>
    </row>
    <row r="56" spans="6:22" ht="18.75">
      <c r="F56" s="216"/>
      <c r="G56" s="209"/>
      <c r="H56" s="209"/>
      <c r="I56" s="209"/>
      <c r="J56" s="209" t="s">
        <v>208</v>
      </c>
      <c r="K56" s="209"/>
      <c r="L56" s="209"/>
      <c r="M56" s="209"/>
      <c r="N56" s="209" t="s">
        <v>217</v>
      </c>
      <c r="O56" s="209"/>
      <c r="P56" s="209"/>
      <c r="Q56" s="209"/>
      <c r="R56" s="209"/>
      <c r="S56" s="215"/>
      <c r="T56" s="215"/>
      <c r="U56" s="215"/>
      <c r="V56" s="213"/>
    </row>
    <row r="57" spans="6:22" ht="18.75">
      <c r="F57" s="216"/>
      <c r="G57" s="209"/>
      <c r="H57" s="209"/>
      <c r="I57" s="209"/>
      <c r="J57" s="209"/>
      <c r="K57" s="209"/>
      <c r="L57" s="209"/>
      <c r="M57" s="209"/>
      <c r="N57" s="209"/>
      <c r="O57" s="209"/>
      <c r="P57" s="215"/>
      <c r="Q57" s="215"/>
      <c r="R57" s="215"/>
      <c r="S57" s="215"/>
      <c r="T57" s="215"/>
      <c r="U57" s="215"/>
      <c r="V57" s="213"/>
    </row>
    <row r="58" spans="6:22" ht="18.75">
      <c r="F58" s="216"/>
      <c r="G58" s="209"/>
      <c r="H58" s="209"/>
      <c r="I58" s="209"/>
      <c r="J58" s="209" t="s">
        <v>211</v>
      </c>
      <c r="K58" s="209"/>
      <c r="L58" s="209"/>
      <c r="M58" s="209"/>
      <c r="N58" s="209"/>
      <c r="O58" s="209"/>
      <c r="P58" s="215"/>
      <c r="Q58" s="215"/>
      <c r="R58" s="215"/>
      <c r="S58" s="215"/>
      <c r="T58" s="215"/>
      <c r="U58" s="215"/>
      <c r="V58" s="213"/>
    </row>
    <row r="59" spans="6:22" ht="18.75">
      <c r="F59" s="216"/>
      <c r="G59" s="209"/>
      <c r="H59" s="209"/>
      <c r="I59" s="209"/>
      <c r="J59" s="209"/>
      <c r="K59" s="209"/>
      <c r="L59" s="209"/>
      <c r="M59" s="209"/>
      <c r="N59" s="209"/>
      <c r="O59" s="209"/>
      <c r="P59" s="215"/>
      <c r="Q59" s="215"/>
      <c r="R59" s="215"/>
      <c r="S59" s="215"/>
      <c r="T59" s="215"/>
      <c r="U59" s="215"/>
      <c r="V59" s="213"/>
    </row>
    <row r="60" spans="6:22" ht="18.75">
      <c r="F60" s="216"/>
      <c r="G60" s="209" t="s">
        <v>210</v>
      </c>
      <c r="H60" s="209"/>
      <c r="I60" s="209"/>
      <c r="J60" s="209"/>
      <c r="K60" s="209"/>
      <c r="L60" s="209"/>
      <c r="M60" s="209"/>
      <c r="N60" s="209"/>
      <c r="O60" s="209"/>
      <c r="P60" s="215"/>
      <c r="Q60" s="215"/>
      <c r="R60" s="215"/>
      <c r="S60" s="215"/>
      <c r="T60" s="215"/>
      <c r="U60" s="215"/>
      <c r="V60" s="213"/>
    </row>
    <row r="61" spans="6:22"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</row>
    <row r="62" spans="6:22" ht="18.75">
      <c r="F62" s="209" t="s">
        <v>204</v>
      </c>
      <c r="G62" s="210"/>
      <c r="H62" s="211"/>
      <c r="I62" s="211"/>
      <c r="J62" s="211"/>
      <c r="K62" s="211"/>
      <c r="L62" s="211"/>
      <c r="M62" s="211"/>
      <c r="N62" s="211"/>
      <c r="O62" s="211"/>
      <c r="P62" s="212"/>
      <c r="Q62" s="212"/>
      <c r="R62" s="212"/>
      <c r="S62" s="212"/>
      <c r="T62" s="212"/>
      <c r="U62" s="212"/>
      <c r="V62" s="213"/>
    </row>
    <row r="63" spans="6:22" ht="30">
      <c r="F63" s="213"/>
      <c r="G63" s="209" t="s">
        <v>205</v>
      </c>
      <c r="H63" s="209"/>
      <c r="I63" s="209"/>
      <c r="J63" s="209"/>
      <c r="K63" s="209"/>
      <c r="L63" s="209"/>
      <c r="M63" s="209"/>
      <c r="N63" s="209"/>
      <c r="O63" s="209"/>
      <c r="P63" s="701">
        <f>P50</f>
        <v>4444</v>
      </c>
      <c r="Q63" s="701"/>
      <c r="R63" s="701"/>
      <c r="S63" s="701"/>
      <c r="T63" s="701"/>
      <c r="U63" s="214"/>
      <c r="V63" s="213"/>
    </row>
    <row r="64" spans="6:22" ht="18.75">
      <c r="F64" s="213"/>
      <c r="G64" s="209"/>
      <c r="H64" s="209"/>
      <c r="I64" s="209"/>
      <c r="J64" s="209"/>
      <c r="K64" s="209"/>
      <c r="L64" s="209"/>
      <c r="M64" s="209"/>
      <c r="N64" s="209"/>
      <c r="O64" s="209"/>
      <c r="P64" s="215"/>
      <c r="Q64" s="215"/>
      <c r="R64" s="215"/>
      <c r="S64" s="215"/>
      <c r="T64" s="215"/>
      <c r="U64" s="215"/>
      <c r="V64" s="213"/>
    </row>
    <row r="65" spans="6:22" ht="35.25">
      <c r="F65" s="216"/>
      <c r="G65" s="209" t="s">
        <v>206</v>
      </c>
      <c r="H65" s="209"/>
      <c r="I65" s="217">
        <f>P22</f>
        <v>0</v>
      </c>
      <c r="J65" s="209" t="s">
        <v>207</v>
      </c>
      <c r="K65" s="209"/>
      <c r="L65" s="226">
        <f>L52</f>
        <v>4</v>
      </c>
      <c r="M65" s="209"/>
      <c r="N65" s="209"/>
      <c r="O65" s="209"/>
      <c r="P65" s="215"/>
      <c r="Q65" s="215"/>
      <c r="R65" s="215"/>
      <c r="S65" s="215"/>
      <c r="T65" s="215"/>
      <c r="U65" s="215"/>
      <c r="V65" s="213"/>
    </row>
    <row r="66" spans="6:22" ht="18.75">
      <c r="F66" s="216"/>
      <c r="G66" s="209"/>
      <c r="H66" s="209"/>
      <c r="I66" s="209"/>
      <c r="J66" s="209"/>
      <c r="K66" s="209"/>
      <c r="L66" s="209"/>
      <c r="M66" s="209"/>
      <c r="N66" s="209"/>
      <c r="O66" s="209"/>
      <c r="P66" s="215"/>
      <c r="Q66" s="215"/>
      <c r="R66" s="215"/>
      <c r="S66" s="215"/>
      <c r="T66" s="215"/>
      <c r="U66" s="215"/>
      <c r="V66" s="213"/>
    </row>
    <row r="67" spans="6:22" ht="20.25">
      <c r="F67" s="216"/>
      <c r="G67" s="209"/>
      <c r="H67" s="209"/>
      <c r="I67" s="218">
        <f>J11</f>
        <v>0</v>
      </c>
      <c r="J67" s="209"/>
      <c r="K67" s="209"/>
      <c r="L67" s="209"/>
      <c r="M67" s="209"/>
      <c r="N67" s="209" t="s">
        <v>208</v>
      </c>
      <c r="O67" s="209"/>
      <c r="P67" s="209"/>
      <c r="Q67" s="209"/>
      <c r="R67" s="209"/>
      <c r="S67" s="215"/>
      <c r="T67" s="215"/>
      <c r="U67" s="215"/>
      <c r="V67" s="213"/>
    </row>
    <row r="68" spans="6:22" ht="18.75">
      <c r="F68" s="216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15"/>
      <c r="T68" s="215"/>
      <c r="U68" s="215"/>
      <c r="V68" s="213"/>
    </row>
    <row r="69" spans="6:22" ht="18.75">
      <c r="F69" s="216"/>
      <c r="G69" s="209"/>
      <c r="H69" s="209"/>
      <c r="I69" s="209"/>
      <c r="J69" s="209" t="s">
        <v>208</v>
      </c>
      <c r="K69" s="209"/>
      <c r="L69" s="209"/>
      <c r="M69" s="209"/>
      <c r="N69" s="209" t="s">
        <v>218</v>
      </c>
      <c r="O69" s="209"/>
      <c r="P69" s="209"/>
      <c r="Q69" s="209"/>
      <c r="R69" s="209"/>
      <c r="S69" s="215"/>
      <c r="T69" s="215"/>
      <c r="U69" s="215"/>
      <c r="V69" s="213"/>
    </row>
    <row r="70" spans="6:22" ht="18.75">
      <c r="F70" s="216"/>
      <c r="G70" s="209"/>
      <c r="H70" s="209"/>
      <c r="I70" s="209"/>
      <c r="J70" s="209"/>
      <c r="K70" s="209"/>
      <c r="L70" s="209"/>
      <c r="M70" s="209"/>
      <c r="N70" s="209"/>
      <c r="O70" s="209"/>
      <c r="P70" s="215"/>
      <c r="Q70" s="215"/>
      <c r="R70" s="215"/>
      <c r="S70" s="215"/>
      <c r="T70" s="215"/>
      <c r="U70" s="215"/>
      <c r="V70" s="213"/>
    </row>
    <row r="71" spans="6:22" ht="18.75">
      <c r="F71" s="216"/>
      <c r="G71" s="209"/>
      <c r="H71" s="209"/>
      <c r="I71" s="209"/>
      <c r="J71" s="209" t="s">
        <v>212</v>
      </c>
      <c r="K71" s="209"/>
      <c r="L71" s="209"/>
      <c r="M71" s="209"/>
      <c r="N71" s="209"/>
      <c r="O71" s="209"/>
      <c r="P71" s="215"/>
      <c r="Q71" s="215"/>
      <c r="R71" s="215"/>
      <c r="S71" s="215"/>
      <c r="T71" s="215"/>
      <c r="U71" s="215"/>
      <c r="V71" s="213"/>
    </row>
    <row r="72" spans="6:22" ht="18.75">
      <c r="F72" s="216"/>
      <c r="G72" s="209"/>
      <c r="H72" s="209"/>
      <c r="I72" s="209"/>
      <c r="J72" s="209"/>
      <c r="K72" s="209"/>
      <c r="L72" s="209"/>
      <c r="M72" s="209"/>
      <c r="N72" s="209"/>
      <c r="O72" s="209"/>
      <c r="P72" s="215"/>
      <c r="Q72" s="215"/>
      <c r="R72" s="215"/>
      <c r="S72" s="215"/>
      <c r="T72" s="215"/>
      <c r="U72" s="215"/>
      <c r="V72" s="213"/>
    </row>
    <row r="73" spans="6:22" ht="18.75">
      <c r="F73" s="216"/>
      <c r="G73" s="209" t="s">
        <v>213</v>
      </c>
      <c r="H73" s="209"/>
      <c r="I73" s="209"/>
      <c r="J73" s="209"/>
      <c r="K73" s="209"/>
      <c r="L73" s="209"/>
      <c r="M73" s="209"/>
      <c r="N73" s="209"/>
      <c r="O73" s="209"/>
      <c r="P73" s="215"/>
      <c r="Q73" s="215"/>
      <c r="R73" s="215"/>
      <c r="S73" s="215"/>
      <c r="T73" s="215"/>
      <c r="U73" s="215"/>
      <c r="V73" s="213"/>
    </row>
    <row r="74" spans="6:22"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</row>
    <row r="75" spans="6:22" ht="18.75">
      <c r="F75" s="209" t="s">
        <v>204</v>
      </c>
      <c r="G75" s="210"/>
      <c r="H75" s="211"/>
      <c r="I75" s="211"/>
      <c r="J75" s="211"/>
      <c r="K75" s="211"/>
      <c r="L75" s="211"/>
      <c r="M75" s="211"/>
      <c r="N75" s="211"/>
      <c r="O75" s="211"/>
      <c r="P75" s="212"/>
      <c r="Q75" s="212"/>
      <c r="R75" s="212"/>
      <c r="S75" s="212"/>
      <c r="T75" s="212"/>
      <c r="U75" s="212"/>
      <c r="V75" s="219"/>
    </row>
  </sheetData>
  <mergeCells count="25">
    <mergeCell ref="P36:T36"/>
    <mergeCell ref="P50:T50"/>
    <mergeCell ref="P63:T63"/>
    <mergeCell ref="W14:W26"/>
    <mergeCell ref="C6:D13"/>
    <mergeCell ref="F6:T6"/>
    <mergeCell ref="F8:F11"/>
    <mergeCell ref="G8:G11"/>
    <mergeCell ref="H8:H11"/>
    <mergeCell ref="I8:I11"/>
    <mergeCell ref="J8:J11"/>
    <mergeCell ref="P8:P11"/>
    <mergeCell ref="R8:R11"/>
    <mergeCell ref="Q8:Q11"/>
    <mergeCell ref="S32:T32"/>
    <mergeCell ref="C15:C26"/>
    <mergeCell ref="T8:T11"/>
    <mergeCell ref="D14:D26"/>
    <mergeCell ref="E14:E23"/>
    <mergeCell ref="O8:O11"/>
    <mergeCell ref="M8:M11"/>
    <mergeCell ref="N8:N11"/>
    <mergeCell ref="K8:K11"/>
    <mergeCell ref="L8:L11"/>
    <mergeCell ref="S8:S10"/>
  </mergeCells>
  <pageMargins left="0.70866141732283472" right="0.70866141732283472" top="0.74803149606299213" bottom="0.74803149606299213" header="0.31496062992125984" footer="0.31496062992125984"/>
  <pageSetup paperSize="9" scale="72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Q48"/>
  <sheetViews>
    <sheetView view="pageBreakPreview" zoomScale="42" zoomScaleNormal="78" zoomScaleSheetLayoutView="42" workbookViewId="0">
      <selection activeCell="O3" sqref="O3"/>
    </sheetView>
  </sheetViews>
  <sheetFormatPr defaultRowHeight="15"/>
  <cols>
    <col min="5" max="5" width="3.42578125" customWidth="1"/>
    <col min="7" max="7" width="28.85546875" customWidth="1"/>
    <col min="8" max="9" width="9.140625" hidden="1" customWidth="1"/>
    <col min="10" max="10" width="19.7109375" customWidth="1"/>
    <col min="11" max="11" width="20.7109375" customWidth="1"/>
    <col min="12" max="13" width="0" hidden="1" customWidth="1"/>
    <col min="14" max="14" width="16.85546875" customWidth="1"/>
    <col min="15" max="15" width="15.7109375" customWidth="1"/>
    <col min="16" max="16" width="0" hidden="1" customWidth="1"/>
    <col min="18" max="18" width="27.140625" customWidth="1"/>
    <col min="19" max="50" width="0" hidden="1" customWidth="1"/>
    <col min="52" max="60" width="0" hidden="1" customWidth="1"/>
    <col min="61" max="61" width="9.140625" hidden="1" customWidth="1"/>
    <col min="62" max="64" width="13.140625" hidden="1" customWidth="1"/>
    <col min="65" max="65" width="15.5703125" hidden="1" customWidth="1"/>
    <col min="66" max="69" width="0" hidden="1" customWidth="1"/>
  </cols>
  <sheetData>
    <row r="1" spans="2:69">
      <c r="E1" t="s">
        <v>49</v>
      </c>
    </row>
    <row r="2" spans="2:69" ht="26.25">
      <c r="E2" s="33" t="s">
        <v>246</v>
      </c>
      <c r="F2" s="107"/>
      <c r="G2" s="108"/>
      <c r="H2" s="108"/>
      <c r="I2" s="108"/>
      <c r="J2" s="109"/>
      <c r="O2" s="19"/>
    </row>
    <row r="3" spans="2:69" ht="26.25">
      <c r="B3" s="612">
        <f>'Исходные данные'!J12</f>
        <v>4444</v>
      </c>
      <c r="C3" s="612"/>
      <c r="F3" s="110"/>
      <c r="G3" s="110"/>
      <c r="H3" s="110"/>
      <c r="I3" s="110"/>
      <c r="J3" s="109"/>
    </row>
    <row r="4" spans="2:69" ht="27.75" customHeight="1" thickBot="1">
      <c r="B4" s="612"/>
      <c r="C4" s="612"/>
      <c r="F4" s="613" t="s">
        <v>245</v>
      </c>
      <c r="G4" s="613"/>
      <c r="H4" s="613"/>
      <c r="I4" s="613"/>
      <c r="J4" s="613"/>
      <c r="K4" s="613"/>
      <c r="L4" s="613"/>
      <c r="M4" s="613"/>
      <c r="N4" s="613"/>
      <c r="O4" s="613"/>
      <c r="P4" s="613"/>
    </row>
    <row r="5" spans="2:69" ht="60.75" customHeight="1" thickBot="1">
      <c r="B5" s="612"/>
      <c r="C5" s="612"/>
      <c r="D5" s="111"/>
      <c r="E5" s="257" t="s">
        <v>148</v>
      </c>
      <c r="F5" s="112" t="s">
        <v>149</v>
      </c>
      <c r="G5" s="112" t="s">
        <v>150</v>
      </c>
      <c r="H5" s="269" t="s">
        <v>151</v>
      </c>
      <c r="I5" s="269"/>
      <c r="J5" s="655" t="s">
        <v>273</v>
      </c>
      <c r="K5" s="655"/>
      <c r="L5" s="280"/>
      <c r="M5" s="280" t="s">
        <v>152</v>
      </c>
      <c r="N5" s="729" t="s">
        <v>306</v>
      </c>
      <c r="O5" s="280" t="s">
        <v>272</v>
      </c>
      <c r="P5" s="280" t="s">
        <v>153</v>
      </c>
      <c r="Q5" s="727" t="s">
        <v>153</v>
      </c>
      <c r="R5" s="724" t="s">
        <v>220</v>
      </c>
      <c r="S5" s="164" t="s">
        <v>167</v>
      </c>
      <c r="T5" s="164"/>
      <c r="U5" s="141" t="s">
        <v>168</v>
      </c>
      <c r="V5" s="113"/>
      <c r="W5" s="113" t="s">
        <v>152</v>
      </c>
      <c r="X5" s="113" t="s">
        <v>153</v>
      </c>
      <c r="Y5" s="143" t="s">
        <v>154</v>
      </c>
      <c r="Z5" s="146" t="s">
        <v>170</v>
      </c>
      <c r="AA5" s="143" t="s">
        <v>154</v>
      </c>
      <c r="AB5" s="148" t="s">
        <v>153</v>
      </c>
      <c r="AC5" s="731" t="s">
        <v>139</v>
      </c>
      <c r="AD5" s="732"/>
      <c r="AE5" s="733" t="s">
        <v>138</v>
      </c>
      <c r="AF5" s="733"/>
      <c r="AG5" s="731" t="s">
        <v>134</v>
      </c>
      <c r="AH5" s="734"/>
      <c r="AI5" s="732"/>
      <c r="AJ5" s="734" t="s">
        <v>136</v>
      </c>
      <c r="AK5" s="734"/>
      <c r="AL5" s="718" t="s">
        <v>171</v>
      </c>
      <c r="AM5" s="719"/>
      <c r="AN5" s="720"/>
      <c r="AO5" s="246"/>
      <c r="AP5" s="721" t="s">
        <v>25</v>
      </c>
      <c r="AQ5" s="722"/>
      <c r="AR5" s="722"/>
      <c r="AS5" s="722"/>
      <c r="AT5" s="722"/>
      <c r="AU5" s="723" t="s">
        <v>223</v>
      </c>
      <c r="AV5" s="723"/>
      <c r="AW5" s="723" t="s">
        <v>224</v>
      </c>
      <c r="AX5" s="723"/>
      <c r="AZ5" s="713" t="s">
        <v>274</v>
      </c>
      <c r="BA5" s="710" t="s">
        <v>350</v>
      </c>
      <c r="BB5" s="710" t="s">
        <v>351</v>
      </c>
      <c r="BC5" s="713" t="s">
        <v>352</v>
      </c>
      <c r="BD5" s="710" t="s">
        <v>306</v>
      </c>
      <c r="BE5" s="529"/>
      <c r="BF5" s="710" t="s">
        <v>306</v>
      </c>
      <c r="BG5" s="529"/>
      <c r="BH5" s="529"/>
      <c r="BI5" s="529"/>
      <c r="BJ5" s="12"/>
      <c r="BK5" s="12"/>
      <c r="BL5" s="12"/>
      <c r="BO5" s="715" t="s">
        <v>306</v>
      </c>
      <c r="BP5" s="716"/>
      <c r="BQ5" s="717"/>
    </row>
    <row r="6" spans="2:69" ht="40.5" customHeight="1" thickBot="1">
      <c r="B6" s="612"/>
      <c r="C6" s="612"/>
      <c r="D6" s="111"/>
      <c r="E6" s="258"/>
      <c r="F6" s="114"/>
      <c r="G6" s="114"/>
      <c r="H6" s="270"/>
      <c r="I6" s="270"/>
      <c r="J6" s="281" t="s">
        <v>155</v>
      </c>
      <c r="K6" s="281" t="s">
        <v>156</v>
      </c>
      <c r="L6" s="281"/>
      <c r="M6" s="281"/>
      <c r="N6" s="730"/>
      <c r="O6" s="281" t="s">
        <v>169</v>
      </c>
      <c r="P6" s="281"/>
      <c r="Q6" s="728"/>
      <c r="R6" s="725"/>
      <c r="S6" s="145" t="s">
        <v>155</v>
      </c>
      <c r="T6" s="145" t="s">
        <v>177</v>
      </c>
      <c r="U6" s="115" t="s">
        <v>156</v>
      </c>
      <c r="V6" s="115"/>
      <c r="W6" s="115"/>
      <c r="X6" s="115"/>
      <c r="Y6" s="144" t="s">
        <v>169</v>
      </c>
      <c r="Z6" s="145" t="s">
        <v>177</v>
      </c>
      <c r="AA6" s="144" t="s">
        <v>169</v>
      </c>
      <c r="AB6" s="147"/>
      <c r="AC6" s="151" t="s">
        <v>132</v>
      </c>
      <c r="AD6" s="145" t="s">
        <v>177</v>
      </c>
      <c r="AE6" s="151" t="s">
        <v>133</v>
      </c>
      <c r="AF6" s="152" t="s">
        <v>169</v>
      </c>
      <c r="AG6" s="151" t="s">
        <v>135</v>
      </c>
      <c r="AH6" s="151" t="s">
        <v>172</v>
      </c>
      <c r="AI6" s="145" t="s">
        <v>177</v>
      </c>
      <c r="AJ6" s="157" t="s">
        <v>137</v>
      </c>
      <c r="AK6" s="145" t="s">
        <v>177</v>
      </c>
      <c r="AL6" s="151" t="s">
        <v>185</v>
      </c>
      <c r="AM6" s="151" t="s">
        <v>186</v>
      </c>
      <c r="AN6" s="145" t="s">
        <v>177</v>
      </c>
      <c r="AO6" s="145" t="s">
        <v>225</v>
      </c>
      <c r="AP6" s="145" t="s">
        <v>177</v>
      </c>
      <c r="AQ6" s="142" t="s">
        <v>59</v>
      </c>
      <c r="AR6" s="158" t="s">
        <v>79</v>
      </c>
      <c r="AS6" s="158">
        <f>МРП!AF16</f>
        <v>0</v>
      </c>
      <c r="AT6" s="233">
        <f>МРП!AG16</f>
        <v>0</v>
      </c>
      <c r="AU6" s="234" t="s">
        <v>222</v>
      </c>
      <c r="AV6" s="234"/>
      <c r="AW6" s="234" t="s">
        <v>222</v>
      </c>
      <c r="AX6" s="234"/>
      <c r="AZ6" s="726"/>
      <c r="BA6" s="711"/>
      <c r="BB6" s="711"/>
      <c r="BC6" s="714"/>
      <c r="BD6" s="712"/>
      <c r="BE6" s="529"/>
      <c r="BF6" s="711"/>
      <c r="BG6" s="529"/>
      <c r="BH6" s="529"/>
      <c r="BI6" s="529"/>
      <c r="BJ6" s="300" t="s">
        <v>274</v>
      </c>
      <c r="BK6" s="326" t="s">
        <v>331</v>
      </c>
      <c r="BL6" s="326" t="s">
        <v>287</v>
      </c>
      <c r="BM6" s="301" t="s">
        <v>275</v>
      </c>
      <c r="BO6" s="354" t="s">
        <v>307</v>
      </c>
      <c r="BP6" s="354" t="s">
        <v>308</v>
      </c>
      <c r="BQ6" s="354" t="s">
        <v>309</v>
      </c>
    </row>
    <row r="7" spans="2:69" ht="41.25" customHeight="1" thickBot="1">
      <c r="B7" s="612"/>
      <c r="C7" s="612"/>
      <c r="E7" s="299">
        <v>1</v>
      </c>
      <c r="F7" s="428">
        <f>'Задание на ТРУМПФ'!F7</f>
        <v>0</v>
      </c>
      <c r="G7" s="472" t="str">
        <f>'Задание на ТРУМПФ'!G7</f>
        <v>-х  -</v>
      </c>
      <c r="H7" s="324"/>
      <c r="I7" s="324" t="str">
        <f>IF('Исходные данные'!K16=1,"ВГ 199.01.00.001",IF('Исходные данные'!K16=2,"ВГ 199.01.00.008","---"))</f>
        <v>---</v>
      </c>
      <c r="J7" s="431">
        <f>BA7</f>
        <v>0</v>
      </c>
      <c r="K7" s="432">
        <f>BB7</f>
        <v>0</v>
      </c>
      <c r="L7" s="433"/>
      <c r="M7" s="433"/>
      <c r="N7" s="532">
        <f>BD7</f>
        <v>0</v>
      </c>
      <c r="O7" s="433">
        <f>IF(J7&gt;0,'Исходные данные'!AB16*2*'Исходные данные'!U16,0)</f>
        <v>0</v>
      </c>
      <c r="P7" s="325" t="e">
        <f>#REF!</f>
        <v>#REF!</v>
      </c>
      <c r="Q7" s="434">
        <f>IF(O7&gt;0,"ОЦ 0,7",0)</f>
        <v>0</v>
      </c>
      <c r="R7" s="437">
        <f>IF('Задание на ТРУМПФ'!L7="ТЕКИ 07.239.01.00.011/012","ТЕКИ 07.277.03.00.101",IF('Задание на ТРУМПФ'!L7="ТЕКИ 07.269.01.00.001/002",0,IF('Задание на ТРУМПФ'!L7="ТЕКИ 07.239.01.00.001/002","ТЕКИ 07.239.02.00.016",0)))</f>
        <v>0</v>
      </c>
      <c r="T7">
        <f>IF('Исходные данные'!K16=1,нормы!F5*'Задание на ножницы'!O7*2,IF('Исходные данные'!K16=2,нормы!G5*'Задание на ножницы'!O7*2,0))</f>
        <v>0</v>
      </c>
      <c r="U7">
        <f>IF('Исходные данные'!K16=1,нормы!D5*'Задание на ножницы'!O7*2,IF('Исходные данные'!K16=2,нормы!E5*'Задание на ножницы'!O7*2,0))</f>
        <v>0</v>
      </c>
      <c r="Z7">
        <f>IF(J7&gt;0,нормы!E5*'Задание на ножницы'!#REF!,0)</f>
        <v>0</v>
      </c>
      <c r="AD7">
        <f>IF(J7&gt;0,нормы!C4*'Задание на ножницы'!#REF!,0)</f>
        <v>0</v>
      </c>
      <c r="AE7">
        <f>IF(J7&gt;0,нормы!B4*'Задание на ножницы'!#REF!,0)</f>
        <v>0</v>
      </c>
      <c r="AI7">
        <f>IF(J7&gt;0,нормы!C4*'Задание на ножницы'!#REF!,0)</f>
        <v>0</v>
      </c>
      <c r="AK7">
        <f>IF(J7&gt;0,нормы!B4*'Задание на ножницы'!#REF!,0)</f>
        <v>0</v>
      </c>
      <c r="AL7" s="235" t="e">
        <f>IF(#REF!="решетка жалюзийная",4+('Исходные данные'!J16/52),0)</f>
        <v>#REF!</v>
      </c>
      <c r="AM7" t="e">
        <f>IF(#REF!="решетка жалюзийная",IF('Исходные данные'!J16&lt;=1000,('Исходные данные'!J16/50),IF('Исходные данные'!J16&gt;1000,('Исходные данные'!J16/50)*2,0)),0)</f>
        <v>#REF!</v>
      </c>
      <c r="AN7" t="e">
        <f>IF(#REF!="решетка жалюзийная",нормы!E5+'Задание на ножницы'!AM7*нормы!B5,0)</f>
        <v>#REF!</v>
      </c>
      <c r="AO7" t="e">
        <f>AN7*#REF!</f>
        <v>#REF!</v>
      </c>
      <c r="AP7" t="e">
        <f>IF(#REF!="МРП",нормы!C5*'Задание на ножницы'!#REF!*4,IF(#REF!="МРЗ",нормы!C5*'Задание на ножницы'!#REF!*2,0))</f>
        <v>#REF!</v>
      </c>
      <c r="AU7" t="e">
        <f>IF(#REF!&gt;0,0.024*O7,0)</f>
        <v>#REF!</v>
      </c>
      <c r="AV7" t="e">
        <f>IF(#REF!&gt;0,0.012*O7,0)</f>
        <v>#REF!</v>
      </c>
      <c r="AW7" t="e">
        <f>IF(#REF!&gt;0,0.024*O8,0)</f>
        <v>#REF!</v>
      </c>
      <c r="AX7" t="e">
        <f>IF(#REF!&gt;0,0.012*O7,0)</f>
        <v>#REF!</v>
      </c>
      <c r="AZ7" s="526">
        <f>'Исходные данные'!AK16</f>
        <v>0</v>
      </c>
      <c r="BA7" s="530">
        <f>IF(AZ7=1,0,IF(AZ7=2,'Исходные данные'!I16/'Исходные данные'!AB16+28.6,IF(AZ7=3,('Исходные данные'!I16-24)/'Исходные данные'!AB16-8.7+55.48,0)))</f>
        <v>0</v>
      </c>
      <c r="BB7" s="530">
        <f>IF(AZ7=1,0,IF(AZ7=2,('Исходные данные'!J16-17)+48.6,IF(AZ7=3,('Исходные данные'!J16-32)+64.48,0)))</f>
        <v>0</v>
      </c>
      <c r="BC7" s="530">
        <f>IF(AZ7=1,0,IF(AZ7=2,('Исходные данные'!I16/'Исходные данные'!AB16-14)/2-13,0))</f>
        <v>0</v>
      </c>
      <c r="BD7" s="531">
        <f>IF(AZ7=1,0,IF(AZ7=2,BA7-BC7-24.3,IF(AZ7=3,BA7-((('Исходные данные'!I16-24)/'Исходные данные'!AB16-28)/2)-34.14,0)))</f>
        <v>0</v>
      </c>
      <c r="BE7" s="533"/>
      <c r="BF7" s="534">
        <f>CEILING(IF(BD7=0,0,IF(BD7&lt;=200,0.064,IF(BD7&gt;200,0.081,0))),0)</f>
        <v>0</v>
      </c>
      <c r="BG7" s="533"/>
      <c r="BJ7" s="284">
        <f>IF('Исходные данные'!K16=2,('Исходные данные'!I16-24)/'Исходные данные'!AG16-8.7+55.48-((('Исходные данные'!I16-24)/'Исходные данные'!AG16-28)/2)-31.14,0)</f>
        <v>0</v>
      </c>
      <c r="BK7" s="284">
        <v>0</v>
      </c>
      <c r="BL7" s="284">
        <f>IF(BD7=0,0,IF(BD7&lt;=200,0.064,IF(BD7&gt;200,0.081,0)))</f>
        <v>0</v>
      </c>
      <c r="BM7" s="285">
        <f t="shared" ref="BM7:BM21" si="0">(BL7+BK7)*O7</f>
        <v>0</v>
      </c>
      <c r="BO7" s="355">
        <f>IF('Задание на ножницы'!J7&gt;0,('Исходные данные'!I16-24)/'Исходные данные'!AG16-8.7,0)</f>
        <v>0</v>
      </c>
      <c r="BP7" s="355">
        <f>IF('Задание на ножницы'!J7&gt;0,BO7+55.48,0)</f>
        <v>0</v>
      </c>
      <c r="BQ7" s="355">
        <f>IF(BP7&gt;0,BP7-((('Исходные данные'!I16-24)/'Исходные данные'!AG16-28)/2)-34.14,0)</f>
        <v>0</v>
      </c>
    </row>
    <row r="8" spans="2:69" ht="45.75" customHeight="1" thickBot="1">
      <c r="B8" s="612"/>
      <c r="C8" s="612"/>
      <c r="E8" s="116">
        <f>E7+1</f>
        <v>2</v>
      </c>
      <c r="F8" s="429">
        <f>'Задание на ТРУМПФ'!F8</f>
        <v>0</v>
      </c>
      <c r="G8" s="426" t="str">
        <f>'Задание на ТРУМПФ'!G8</f>
        <v>-х  -</v>
      </c>
      <c r="H8" s="471"/>
      <c r="I8" s="471" t="str">
        <f>IF('Исходные данные'!K17=1,"ВГ 199.01.00.001",IF('Исходные данные'!K17=2,"ВГ 199.01.00.008","---"))</f>
        <v>---</v>
      </c>
      <c r="J8" s="431">
        <f t="shared" ref="J8:J21" si="1">BA8</f>
        <v>0</v>
      </c>
      <c r="K8" s="432">
        <f t="shared" ref="K8:K21" si="2">BB8</f>
        <v>0</v>
      </c>
      <c r="L8" s="433"/>
      <c r="M8" s="433"/>
      <c r="N8" s="532">
        <f t="shared" ref="N8:N21" si="3">BD8</f>
        <v>0</v>
      </c>
      <c r="O8" s="433">
        <f>IF(J8&gt;0,'Исходные данные'!AB17*2*'Исходные данные'!U17,0)</f>
        <v>0</v>
      </c>
      <c r="P8" s="266" t="e">
        <f>#REF!</f>
        <v>#REF!</v>
      </c>
      <c r="Q8" s="435">
        <f t="shared" ref="Q8:Q27" si="4">IF(O8&gt;0,"ОЦ 0,7",0)</f>
        <v>0</v>
      </c>
      <c r="R8" s="438">
        <f>IF('Задание на ТРУМПФ'!L8="ТЕКИ 07.239.01.00.011/012","ТЕКИ 07.277.03.00.101",IF('Задание на ТРУМПФ'!L8="ТЕКИ 07.269.01.00.001/002",0,IF('Задание на ТРУМПФ'!L8="ТЕКИ 07.239.01.00.001/002","ТЕКИ 07.239.02.00.016",0)))</f>
        <v>0</v>
      </c>
      <c r="T8">
        <f>IF('Исходные данные'!K17=1,нормы!F5*'Задание на ножницы'!O8*2,IF('Исходные данные'!K17=2,нормы!G5*'Задание на ножницы'!O8*2,0))</f>
        <v>0</v>
      </c>
      <c r="U8">
        <f>IF('Исходные данные'!K17=1,нормы!D5*'Задание на ножницы'!O8*2,IF('Исходные данные'!K17=2,нормы!E5*'Задание на ножницы'!O8*2,0))</f>
        <v>0</v>
      </c>
      <c r="Z8">
        <f>IF(J8&gt;0,нормы!E6*'Задание на ножницы'!#REF!,0)</f>
        <v>0</v>
      </c>
      <c r="AD8">
        <f>IF(J8&gt;0,нормы!C5*'Задание на ножницы'!#REF!,0)</f>
        <v>0</v>
      </c>
      <c r="AE8">
        <f>IF(J8&gt;0,нормы!B5*'Задание на ножницы'!#REF!,0)</f>
        <v>0</v>
      </c>
      <c r="AI8">
        <f>IF(J8&gt;0,нормы!C5*'Задание на ножницы'!#REF!,0)</f>
        <v>0</v>
      </c>
      <c r="AK8">
        <f>IF(J8&gt;0,нормы!B5*'Задание на ножницы'!#REF!,0)</f>
        <v>0</v>
      </c>
      <c r="AL8" s="235" t="e">
        <f>IF(#REF!="решетка жалюзийная",4+('Исходные данные'!J17/52),0)</f>
        <v>#REF!</v>
      </c>
      <c r="AM8" t="e">
        <f>IF(#REF!="решетка жалюзийная",IF('Исходные данные'!J17&lt;=1000,('Исходные данные'!J17/50),IF('Исходные данные'!J17&gt;1000,('Исходные данные'!J17/50)*2,0)),0)</f>
        <v>#REF!</v>
      </c>
      <c r="AN8" t="e">
        <f>IF(#REF!="решетка жалюзийная",нормы!E6+'Задание на ножницы'!AM8*нормы!B6,0)</f>
        <v>#REF!</v>
      </c>
      <c r="AO8" t="e">
        <f>AN8*#REF!</f>
        <v>#REF!</v>
      </c>
      <c r="AP8" t="e">
        <f>IF(#REF!="МРП",нормы!C6*'Задание на ножницы'!#REF!*4,IF(#REF!="МРЗ",нормы!C6*'Задание на ножницы'!#REF!*2,0))</f>
        <v>#REF!</v>
      </c>
      <c r="AU8" t="e">
        <f>IF(#REF!&gt;0,0.024*O8,0)</f>
        <v>#REF!</v>
      </c>
      <c r="AV8" t="e">
        <f>IF(#REF!&gt;0,0.012*O8,0)</f>
        <v>#REF!</v>
      </c>
      <c r="AW8" t="e">
        <f>IF(#REF!&gt;0,0.024*O9,0)</f>
        <v>#REF!</v>
      </c>
      <c r="AX8" t="e">
        <f>IF(#REF!&gt;0,0.012*O8,0)</f>
        <v>#REF!</v>
      </c>
      <c r="AZ8" s="527">
        <f>'Исходные данные'!AK17</f>
        <v>0</v>
      </c>
      <c r="BA8" s="331">
        <f>IF(AZ8=1,0,IF(AZ8=2,'Исходные данные'!I17/'Исходные данные'!AB17+28.6,IF(AZ8=3,('Исходные данные'!I17-24)/'Исходные данные'!AB17-8.7+55.48,0)))</f>
        <v>0</v>
      </c>
      <c r="BB8" s="331">
        <f>IF(AZ8=1,0,IF(AZ8=2,('Исходные данные'!J17-17)+48.6,IF(AZ8=3,('Исходные данные'!J17-32)+64.48,0)))</f>
        <v>0</v>
      </c>
      <c r="BC8" s="530">
        <f>IF(AZ8=1,0,IF(AZ8=2,('Исходные данные'!I17/'Исходные данные'!AB17-14)/2-13,0))</f>
        <v>0</v>
      </c>
      <c r="BD8" s="531">
        <f>IF(AZ8=1,0,IF(AZ8=2,BA8-BC8-24.3,IF(AZ8=3,BA8-((('Исходные данные'!I17-24)/'Исходные данные'!AB17-28)/2)-34.14,0)))</f>
        <v>0</v>
      </c>
      <c r="BE8" s="533"/>
      <c r="BF8" s="533">
        <f t="shared" ref="BF8:BF21" si="5">CEILING(IF(BD8=0,0,IF(BD8&lt;=200,0.064,IF(BD8&gt;200,0.081,0))),0)</f>
        <v>0</v>
      </c>
      <c r="BG8" s="533"/>
      <c r="BJ8" s="4">
        <f>IF('Исходные данные'!K17=2,('Исходные данные'!I17-24)/'Исходные данные'!AG17-8.7+55.48-((('Исходные данные'!I17-24)/'Исходные данные'!AG17-28)/2)-31.14,0)</f>
        <v>0</v>
      </c>
      <c r="BK8" s="284">
        <v>0</v>
      </c>
      <c r="BL8" s="284">
        <f t="shared" ref="BL8:BL21" si="6">IF(BD8=0,0,IF(BD8&lt;=200,0.064,IF(BD8&gt;200,0.081,0)))</f>
        <v>0</v>
      </c>
      <c r="BM8" s="285">
        <f t="shared" si="0"/>
        <v>0</v>
      </c>
      <c r="BO8" s="355">
        <f>IF('Задание на ножницы'!J8&gt;0,('Исходные данные'!I17-24)/'Исходные данные'!AG17-8.7,0)</f>
        <v>0</v>
      </c>
      <c r="BP8" s="355">
        <f>IF('Задание на ножницы'!J8&gt;0,BO8+55.48,0)</f>
        <v>0</v>
      </c>
      <c r="BQ8" s="355">
        <f>IF(BP8&gt;0,BP8-((('Исходные данные'!I17-24)/'Исходные данные'!AG17-28)/2)-34.14,0)</f>
        <v>0</v>
      </c>
    </row>
    <row r="9" spans="2:69" ht="33" customHeight="1" thickBot="1">
      <c r="B9" s="605" t="s">
        <v>157</v>
      </c>
      <c r="E9" s="116">
        <f t="shared" ref="E9:E24" si="7">E8+1</f>
        <v>3</v>
      </c>
      <c r="F9" s="429">
        <f>'Задание на ТРУМПФ'!F9</f>
        <v>0</v>
      </c>
      <c r="G9" s="426" t="str">
        <f>'Задание на ТРУМПФ'!G9</f>
        <v>-х  -</v>
      </c>
      <c r="H9" s="471"/>
      <c r="I9" s="471" t="str">
        <f>IF('Исходные данные'!K18=1,"ВГ 199.01.00.001",IF('Исходные данные'!K18=2,"ВГ 199.01.00.008","---"))</f>
        <v>---</v>
      </c>
      <c r="J9" s="431">
        <f t="shared" si="1"/>
        <v>0</v>
      </c>
      <c r="K9" s="432">
        <f t="shared" si="2"/>
        <v>0</v>
      </c>
      <c r="L9" s="433"/>
      <c r="M9" s="433"/>
      <c r="N9" s="532">
        <f t="shared" si="3"/>
        <v>0</v>
      </c>
      <c r="O9" s="433">
        <f>IF(J9&gt;0,'Исходные данные'!AB18*2*'Исходные данные'!U18,0)</f>
        <v>0</v>
      </c>
      <c r="P9" s="266" t="e">
        <f>#REF!</f>
        <v>#REF!</v>
      </c>
      <c r="Q9" s="435">
        <f t="shared" si="4"/>
        <v>0</v>
      </c>
      <c r="R9" s="438">
        <f>IF('Задание на ТРУМПФ'!L9="ТЕКИ 07.239.01.00.011/012","ТЕКИ 07.277.03.00.101",IF('Задание на ТРУМПФ'!L9="ТЕКИ 07.269.01.00.001/002",0,IF('Задание на ТРУМПФ'!L9="ТЕКИ 07.239.01.00.001/002","ТЕКИ 07.239.02.00.016",0)))</f>
        <v>0</v>
      </c>
      <c r="T9">
        <f>IF('Исходные данные'!K18=1,нормы!F5*'Задание на ножницы'!O9*2,IF('Исходные данные'!K18=2,нормы!G5*'Задание на ножницы'!O9*2,0))</f>
        <v>0</v>
      </c>
      <c r="U9">
        <f>IF('Исходные данные'!K18=1,нормы!D5*'Задание на ножницы'!O9*2,IF('Исходные данные'!K18=2,нормы!E5*'Задание на ножницы'!O9*2,0))</f>
        <v>0</v>
      </c>
      <c r="Z9">
        <f>IF(J9&gt;0,нормы!E7*'Задание на ножницы'!#REF!,0)</f>
        <v>0</v>
      </c>
      <c r="AD9">
        <f>IF(J9&gt;0,нормы!C6*'Задание на ножницы'!#REF!,0)</f>
        <v>0</v>
      </c>
      <c r="AE9">
        <f>IF(J9&gt;0,нормы!B6*'Задание на ножницы'!#REF!,0)</f>
        <v>0</v>
      </c>
      <c r="AI9">
        <f>IF(J9&gt;0,нормы!C6*'Задание на ножницы'!#REF!,0)</f>
        <v>0</v>
      </c>
      <c r="AK9">
        <f>IF(J9&gt;0,нормы!B6*'Задание на ножницы'!#REF!,0)</f>
        <v>0</v>
      </c>
      <c r="AL9" s="235" t="e">
        <f>IF(#REF!="решетка жалюзийная",4+('Исходные данные'!J18/52),0)</f>
        <v>#REF!</v>
      </c>
      <c r="AM9" t="e">
        <f>IF(#REF!="решетка жалюзийная",IF('Исходные данные'!J18&lt;=1000,('Исходные данные'!J18/50),IF('Исходные данные'!J18&gt;1000,('Исходные данные'!J18/50)*2,0)),0)</f>
        <v>#REF!</v>
      </c>
      <c r="AN9" t="e">
        <f>IF(#REF!="решетка жалюзийная",нормы!E7+'Задание на ножницы'!AM9*нормы!B7,0)</f>
        <v>#REF!</v>
      </c>
      <c r="AO9" t="e">
        <f>AN9*#REF!</f>
        <v>#REF!</v>
      </c>
      <c r="AP9" t="e">
        <f>IF(#REF!="МРП",нормы!C7*'Задание на ножницы'!#REF!*4,IF(#REF!="МРЗ",нормы!C7*'Задание на ножницы'!#REF!*2,0))</f>
        <v>#REF!</v>
      </c>
      <c r="AU9" t="e">
        <f>IF(#REF!&gt;0,0.024*O9,0)</f>
        <v>#REF!</v>
      </c>
      <c r="AV9" t="e">
        <f>IF(#REF!&gt;0,0.012*O9,0)</f>
        <v>#REF!</v>
      </c>
      <c r="AW9" t="e">
        <f>IF(#REF!&gt;0,0.024*O10,0)</f>
        <v>#REF!</v>
      </c>
      <c r="AX9" t="e">
        <f>IF(#REF!&gt;0,0.012*O9,0)</f>
        <v>#REF!</v>
      </c>
      <c r="AZ9" s="527">
        <f>'Исходные данные'!AK18</f>
        <v>0</v>
      </c>
      <c r="BA9" s="331">
        <f>IF(AZ9=1,0,IF(AZ9=2,'Исходные данные'!I18/'Исходные данные'!AB18+28.6,IF(AZ9=3,('Исходные данные'!I18-24)/'Исходные данные'!AB18-8.7+55.48,0)))</f>
        <v>0</v>
      </c>
      <c r="BB9" s="331">
        <f>IF(AZ9=1,0,IF(AZ9=2,('Исходные данные'!J18-17)+48.6,IF(AZ9=3,('Исходные данные'!J18-32)+64.48,0)))</f>
        <v>0</v>
      </c>
      <c r="BC9" s="530">
        <f>IF(AZ9=1,0,IF(AZ9=2,('Исходные данные'!I18/'Исходные данные'!AB18-14)/2-13,0))</f>
        <v>0</v>
      </c>
      <c r="BD9" s="531">
        <f>IF(AZ9=1,0,IF(AZ9=2,BA9-BC9-24.3,IF(AZ9=3,BA9-((('Исходные данные'!I18-24)/'Исходные данные'!AB18-28)/2)-34.14,0)))</f>
        <v>0</v>
      </c>
      <c r="BE9" s="533"/>
      <c r="BF9" s="533">
        <f t="shared" si="5"/>
        <v>0</v>
      </c>
      <c r="BG9" s="533"/>
      <c r="BJ9" s="4">
        <f>IF('Исходные данные'!K18=2,('Исходные данные'!I18-24)/'Исходные данные'!AG18-8.7+55.48-((('Исходные данные'!I18-24)/'Исходные данные'!AG18-28)/2)-31.14,0)</f>
        <v>0</v>
      </c>
      <c r="BK9" s="284">
        <v>0</v>
      </c>
      <c r="BL9" s="284">
        <f t="shared" si="6"/>
        <v>0</v>
      </c>
      <c r="BM9" s="285">
        <f t="shared" si="0"/>
        <v>0</v>
      </c>
      <c r="BO9" s="355">
        <f>IF('Задание на ножницы'!J9&gt;0,('Исходные данные'!I18-24)/'Исходные данные'!AG18-8.7,0)</f>
        <v>0</v>
      </c>
      <c r="BP9" s="355">
        <f>IF('Задание на ножницы'!J9&gt;0,BO9+55.48,0)</f>
        <v>0</v>
      </c>
      <c r="BQ9" s="355">
        <f>IF(BP9&gt;0,BP9-((('Исходные данные'!I18-24)/'Исходные данные'!AG18-28)/2)-34.14,0)</f>
        <v>0</v>
      </c>
    </row>
    <row r="10" spans="2:69" ht="42" customHeight="1" thickBot="1">
      <c r="B10" s="605"/>
      <c r="E10" s="116">
        <f t="shared" si="7"/>
        <v>4</v>
      </c>
      <c r="F10" s="429">
        <f>'Задание на ТРУМПФ'!F10</f>
        <v>0</v>
      </c>
      <c r="G10" s="426" t="str">
        <f>'Задание на ТРУМПФ'!G10</f>
        <v>-х  -</v>
      </c>
      <c r="H10" s="471"/>
      <c r="I10" s="471" t="str">
        <f>IF('Исходные данные'!K19=1,"ВГ 199.01.00.001",IF('Исходные данные'!K19=2,"ВГ 199.01.00.008","---"))</f>
        <v>---</v>
      </c>
      <c r="J10" s="431">
        <f t="shared" si="1"/>
        <v>0</v>
      </c>
      <c r="K10" s="432">
        <f t="shared" si="2"/>
        <v>0</v>
      </c>
      <c r="L10" s="433"/>
      <c r="M10" s="433"/>
      <c r="N10" s="532">
        <f t="shared" si="3"/>
        <v>0</v>
      </c>
      <c r="O10" s="433">
        <f>IF(J10&gt;0,'Исходные данные'!AB19*2*'Исходные данные'!U19,0)</f>
        <v>0</v>
      </c>
      <c r="P10" s="266" t="e">
        <f>#REF!</f>
        <v>#REF!</v>
      </c>
      <c r="Q10" s="435">
        <f t="shared" si="4"/>
        <v>0</v>
      </c>
      <c r="R10" s="438">
        <f>IF('Задание на ТРУМПФ'!L10="ТЕКИ 07.239.01.00.011/012","ТЕКИ 07.277.03.00.101",IF('Задание на ТРУМПФ'!L10="ТЕКИ 07.269.01.00.001/002",0,IF('Задание на ТРУМПФ'!L10="ТЕКИ 07.239.01.00.001/002","ТЕКИ 07.239.02.00.016",0)))</f>
        <v>0</v>
      </c>
      <c r="T10">
        <f>IF('Исходные данные'!K19=1,нормы!F5*'Задание на ножницы'!O10*2,IF('Исходные данные'!K19=2,нормы!G5*'Задание на ножницы'!O10*2,0))</f>
        <v>0</v>
      </c>
      <c r="U10">
        <f>IF('Исходные данные'!K19=1,нормы!D5*'Задание на ножницы'!O10*2,IF('Исходные данные'!K19=2,нормы!E5*'Задание на ножницы'!O10*2,0))</f>
        <v>0</v>
      </c>
      <c r="Z10">
        <f>IF(J10&gt;0,нормы!E8*'Задание на ножницы'!#REF!,0)</f>
        <v>0</v>
      </c>
      <c r="AD10">
        <f>IF(J10&gt;0,нормы!C7*'Задание на ножницы'!#REF!,0)</f>
        <v>0</v>
      </c>
      <c r="AE10">
        <f>IF(J10&gt;0,нормы!B7*'Задание на ножницы'!#REF!,0)</f>
        <v>0</v>
      </c>
      <c r="AI10">
        <f>IF(J10&gt;0,нормы!C7*'Задание на ножницы'!#REF!,0)</f>
        <v>0</v>
      </c>
      <c r="AK10">
        <f>IF(J10&gt;0,нормы!B7*'Задание на ножницы'!#REF!,0)</f>
        <v>0</v>
      </c>
      <c r="AL10" s="235" t="e">
        <f>IF(#REF!="решетка жалюзийная",4+('Исходные данные'!J19/52),0)</f>
        <v>#REF!</v>
      </c>
      <c r="AM10" t="e">
        <f>IF(#REF!="решетка жалюзийная",IF('Исходные данные'!J19&lt;=1000,('Исходные данные'!J19/50),IF('Исходные данные'!J19&gt;1000,('Исходные данные'!J19/50)*2,0)),0)</f>
        <v>#REF!</v>
      </c>
      <c r="AN10" t="e">
        <f>IF(#REF!="решетка жалюзийная",нормы!E8+'Задание на ножницы'!AM10*нормы!B8,0)</f>
        <v>#REF!</v>
      </c>
      <c r="AO10" t="e">
        <f>AN10*#REF!</f>
        <v>#REF!</v>
      </c>
      <c r="AP10" t="e">
        <f>IF(#REF!="МРП",нормы!C8*'Задание на ножницы'!#REF!*4,IF(#REF!="МРЗ",нормы!C8*'Задание на ножницы'!#REF!*2,0))</f>
        <v>#REF!</v>
      </c>
      <c r="AU10" t="e">
        <f>IF(#REF!&gt;0,0.024*O10,0)</f>
        <v>#REF!</v>
      </c>
      <c r="AV10" t="e">
        <f>IF(#REF!&gt;0,0.012*O10,0)</f>
        <v>#REF!</v>
      </c>
      <c r="AW10" t="e">
        <f>IF(#REF!&gt;0,0.024*O11,0)</f>
        <v>#REF!</v>
      </c>
      <c r="AX10" t="e">
        <f>IF(#REF!&gt;0,0.012*O10,0)</f>
        <v>#REF!</v>
      </c>
      <c r="AZ10" s="527">
        <f>'Исходные данные'!AK19</f>
        <v>0</v>
      </c>
      <c r="BA10" s="331">
        <f>IF(AZ10=1,0,IF(AZ10=2,'Исходные данные'!I19/'Исходные данные'!AB19+28.6,IF(AZ10=3,('Исходные данные'!I19-24)/'Исходные данные'!AB19-8.7+55.48,0)))</f>
        <v>0</v>
      </c>
      <c r="BB10" s="331">
        <f>IF(AZ10=1,0,IF(AZ10=2,('Исходные данные'!J19-17)+48.6,IF(AZ10=3,('Исходные данные'!J19-32)+64.48,0)))</f>
        <v>0</v>
      </c>
      <c r="BC10" s="530">
        <f>IF(AZ10=1,0,IF(AZ10=2,('Исходные данные'!I19/'Исходные данные'!AB19-14)/2-13,0))</f>
        <v>0</v>
      </c>
      <c r="BD10" s="531">
        <f>IF(AZ10=1,0,IF(AZ10=2,BA10-BC10-24.3,IF(AZ10=3,BA10-((('Исходные данные'!I19-24)/'Исходные данные'!AB19-28)/2)-34.14,0)))</f>
        <v>0</v>
      </c>
      <c r="BE10" s="533"/>
      <c r="BF10" s="533">
        <f t="shared" si="5"/>
        <v>0</v>
      </c>
      <c r="BG10" s="533"/>
      <c r="BJ10" s="4">
        <f>IF('Исходные данные'!K19=2,('Исходные данные'!I19-24)/'Исходные данные'!AG19-8.7+55.48-((('Исходные данные'!I19-24)/'Исходные данные'!AG19-28)/2)-31.14,0)</f>
        <v>0</v>
      </c>
      <c r="BK10" s="284">
        <v>0</v>
      </c>
      <c r="BL10" s="284">
        <f t="shared" si="6"/>
        <v>0</v>
      </c>
      <c r="BM10" s="285">
        <f t="shared" si="0"/>
        <v>0</v>
      </c>
      <c r="BO10" s="355">
        <f>IF('Задание на ножницы'!J10&gt;0,('Исходные данные'!I19-24)/'Исходные данные'!AG19-8.7,0)</f>
        <v>0</v>
      </c>
      <c r="BP10" s="355">
        <f>IF('Задание на ножницы'!J10&gt;0,BO10+55.48,0)</f>
        <v>0</v>
      </c>
      <c r="BQ10" s="355">
        <f>IF(BP10&gt;0,BP10-((('Исходные данные'!I19-24)/'Исходные данные'!AG19-28)/2)-34.14,0)</f>
        <v>0</v>
      </c>
    </row>
    <row r="11" spans="2:69" ht="33" customHeight="1" thickBot="1">
      <c r="B11" s="605"/>
      <c r="E11" s="116">
        <f t="shared" si="7"/>
        <v>5</v>
      </c>
      <c r="F11" s="429">
        <f>'Задание на ТРУМПФ'!F11</f>
        <v>0</v>
      </c>
      <c r="G11" s="426" t="str">
        <f>'Задание на ТРУМПФ'!G11</f>
        <v>-х  -</v>
      </c>
      <c r="H11" s="471"/>
      <c r="I11" s="471" t="str">
        <f>IF('Исходные данные'!K20=1,"ВГ 199.01.00.001",IF('Исходные данные'!K20=2,"ВГ 199.01.00.008","---"))</f>
        <v>---</v>
      </c>
      <c r="J11" s="431">
        <f t="shared" si="1"/>
        <v>0</v>
      </c>
      <c r="K11" s="432">
        <f t="shared" si="2"/>
        <v>0</v>
      </c>
      <c r="L11" s="433"/>
      <c r="M11" s="433"/>
      <c r="N11" s="532">
        <f t="shared" si="3"/>
        <v>0</v>
      </c>
      <c r="O11" s="433">
        <f>IF(J11&gt;0,'Исходные данные'!AB20*2*'Исходные данные'!U20,0)</f>
        <v>0</v>
      </c>
      <c r="P11" s="266" t="e">
        <f>#REF!</f>
        <v>#REF!</v>
      </c>
      <c r="Q11" s="435">
        <f t="shared" si="4"/>
        <v>0</v>
      </c>
      <c r="R11" s="438">
        <f>IF('Задание на ТРУМПФ'!L11="ТЕКИ 07.239.01.00.011/012","ТЕКИ 07.277.03.00.101",IF('Задание на ТРУМПФ'!L11="ТЕКИ 07.269.01.00.001/002",0,IF('Задание на ТРУМПФ'!L11="ТЕКИ 07.239.01.00.001/002","ТЕКИ 07.239.02.00.016",0)))</f>
        <v>0</v>
      </c>
      <c r="T11">
        <f>IF('Исходные данные'!K20=1,нормы!F5*'Задание на ножницы'!O11*2,IF('Исходные данные'!K20=2,нормы!G5*'Задание на ножницы'!O11*2,0))</f>
        <v>0</v>
      </c>
      <c r="U11">
        <f>IF('Исходные данные'!K20=1,нормы!D5*'Задание на ножницы'!O11*2,IF('Исходные данные'!K20=2,нормы!E5*'Задание на ножницы'!O11*2,0))</f>
        <v>0</v>
      </c>
      <c r="Z11">
        <f>IF(J11&gt;0,нормы!E9*'Задание на ножницы'!#REF!,0)</f>
        <v>0</v>
      </c>
      <c r="AD11">
        <f>IF(J11&gt;0,нормы!C8*'Задание на ножницы'!#REF!,0)</f>
        <v>0</v>
      </c>
      <c r="AE11">
        <f>IF(J11&gt;0,нормы!B8*'Задание на ножницы'!#REF!,0)</f>
        <v>0</v>
      </c>
      <c r="AI11">
        <f>IF(J11&gt;0,нормы!C8*'Задание на ножницы'!#REF!,0)</f>
        <v>0</v>
      </c>
      <c r="AK11">
        <f>IF(J11&gt;0,нормы!B8*'Задание на ножницы'!#REF!,0)</f>
        <v>0</v>
      </c>
      <c r="AL11" s="235" t="e">
        <f>IF(#REF!="решетка жалюзийная",4+('Исходные данные'!J20/52),0)</f>
        <v>#REF!</v>
      </c>
      <c r="AM11" t="e">
        <f>IF(#REF!="решетка жалюзийная",IF('Исходные данные'!J20&lt;=1000,('Исходные данные'!J20/50),IF('Исходные данные'!J20&gt;1000,('Исходные данные'!J20/50)*2,0)),0)</f>
        <v>#REF!</v>
      </c>
      <c r="AN11" t="e">
        <f>IF(#REF!="решетка жалюзийная",нормы!E9+'Задание на ножницы'!AM11*нормы!B9,0)</f>
        <v>#REF!</v>
      </c>
      <c r="AO11" t="e">
        <f>AN11*#REF!</f>
        <v>#REF!</v>
      </c>
      <c r="AP11" t="e">
        <f>IF(#REF!="МРП",нормы!C9*'Задание на ножницы'!#REF!*4,IF(#REF!="МРЗ",нормы!C9*'Задание на ножницы'!#REF!*2,0))</f>
        <v>#REF!</v>
      </c>
      <c r="AU11" t="e">
        <f>IF(#REF!&gt;0,0.024*O11,0)</f>
        <v>#REF!</v>
      </c>
      <c r="AV11" t="e">
        <f>IF(#REF!&gt;0,0.012*O11,0)</f>
        <v>#REF!</v>
      </c>
      <c r="AW11" t="e">
        <f>IF(#REF!&gt;0,0.024*O12,0)</f>
        <v>#REF!</v>
      </c>
      <c r="AX11" t="e">
        <f>IF(#REF!&gt;0,0.012*O11,0)</f>
        <v>#REF!</v>
      </c>
      <c r="AZ11" s="527">
        <f>'Исходные данные'!AK20</f>
        <v>0</v>
      </c>
      <c r="BA11" s="331">
        <f>IF(AZ11=1,0,IF(AZ11=2,'Исходные данные'!I20/'Исходные данные'!AB20+28.6,IF(AZ11=3,('Исходные данные'!I20-24)/'Исходные данные'!AB20-8.7+55.48,0)))</f>
        <v>0</v>
      </c>
      <c r="BB11" s="331">
        <f>IF(AZ11=1,0,IF(AZ11=2,('Исходные данные'!J20-17)+48.6,IF(AZ11=3,('Исходные данные'!J20-32)+64.48,0)))</f>
        <v>0</v>
      </c>
      <c r="BC11" s="530">
        <f>IF(AZ11=1,0,IF(AZ11=2,('Исходные данные'!I20/'Исходные данные'!AB20-14)/2-13,0))</f>
        <v>0</v>
      </c>
      <c r="BD11" s="531">
        <f>IF(AZ11=1,0,IF(AZ11=2,BA11-BC11-24.3,IF(AZ11=3,BA11-((('Исходные данные'!I20-24)/'Исходные данные'!AB20-28)/2)-34.14,0)))</f>
        <v>0</v>
      </c>
      <c r="BE11" s="533"/>
      <c r="BF11" s="533">
        <f t="shared" si="5"/>
        <v>0</v>
      </c>
      <c r="BG11" s="533"/>
      <c r="BJ11" s="4">
        <f>IF('Исходные данные'!K20=2,('Исходные данные'!I20-24)/'Исходные данные'!AG20-8.7+55.48-((('Исходные данные'!I20-24)/'Исходные данные'!AG20-28)/2)-31.14,0)</f>
        <v>0</v>
      </c>
      <c r="BK11" s="284">
        <v>0</v>
      </c>
      <c r="BL11" s="284">
        <f t="shared" si="6"/>
        <v>0</v>
      </c>
      <c r="BM11" s="285">
        <f t="shared" si="0"/>
        <v>0</v>
      </c>
      <c r="BO11" s="355">
        <f>IF('Задание на ножницы'!J11&gt;0,('Исходные данные'!I20-24)/'Исходные данные'!AG20-8.7,0)</f>
        <v>0</v>
      </c>
      <c r="BP11" s="355">
        <f>IF('Задание на ножницы'!J11&gt;0,BO11+55.48,0)</f>
        <v>0</v>
      </c>
      <c r="BQ11" s="355">
        <f>IF(BP11&gt;0,BP11-((('Исходные данные'!I20-24)/'Исходные данные'!AG20-28)/2)-34.14,0)</f>
        <v>0</v>
      </c>
    </row>
    <row r="12" spans="2:69" ht="33" customHeight="1" thickBot="1">
      <c r="B12" s="605"/>
      <c r="E12" s="116">
        <f t="shared" si="7"/>
        <v>6</v>
      </c>
      <c r="F12" s="429">
        <f>'Задание на ТРУМПФ'!F12</f>
        <v>0</v>
      </c>
      <c r="G12" s="426" t="str">
        <f>'Задание на ТРУМПФ'!G12</f>
        <v>-х  -</v>
      </c>
      <c r="H12" s="471"/>
      <c r="I12" s="471" t="str">
        <f>IF('Исходные данные'!K21=1,"ВГ 199.01.00.001",IF('Исходные данные'!K21=2,"ВГ 199.01.00.008","---"))</f>
        <v>---</v>
      </c>
      <c r="J12" s="431">
        <f t="shared" si="1"/>
        <v>0</v>
      </c>
      <c r="K12" s="432">
        <f t="shared" si="2"/>
        <v>0</v>
      </c>
      <c r="L12" s="433"/>
      <c r="M12" s="433"/>
      <c r="N12" s="532">
        <f t="shared" si="3"/>
        <v>0</v>
      </c>
      <c r="O12" s="433">
        <f>IF(J12&gt;0,'Исходные данные'!AB21*2*'Исходные данные'!U21,0)</f>
        <v>0</v>
      </c>
      <c r="P12" s="266" t="e">
        <f>#REF!</f>
        <v>#REF!</v>
      </c>
      <c r="Q12" s="435">
        <f t="shared" si="4"/>
        <v>0</v>
      </c>
      <c r="R12" s="438">
        <f>IF('Задание на ТРУМПФ'!L12="ТЕКИ 07.239.01.00.011/012","ТЕКИ 07.277.03.00.101",IF('Задание на ТРУМПФ'!L12="ТЕКИ 07.269.01.00.001/002",0,IF('Задание на ТРУМПФ'!L12="ТЕКИ 07.239.01.00.001/002","ТЕКИ 07.239.02.00.016",0)))</f>
        <v>0</v>
      </c>
      <c r="T12">
        <f>IF('Исходные данные'!K21=1,нормы!F5*'Задание на ножницы'!O12*2,IF('Исходные данные'!K21=2,нормы!G5*'Задание на ножницы'!O12*2,0))</f>
        <v>0</v>
      </c>
      <c r="U12">
        <f>IF('Исходные данные'!K21=1,нормы!D5*'Задание на ножницы'!O12*2,IF('Исходные данные'!K21=2,нормы!E5*'Задание на ножницы'!O12*2,0))</f>
        <v>0</v>
      </c>
      <c r="Z12">
        <f>IF(J12&gt;0,нормы!E10*'Задание на ножницы'!#REF!,0)</f>
        <v>0</v>
      </c>
      <c r="AD12">
        <f>IF(J12&gt;0,нормы!C9*'Задание на ножницы'!#REF!,0)</f>
        <v>0</v>
      </c>
      <c r="AE12">
        <f>IF(J12&gt;0,нормы!B9*'Задание на ножницы'!#REF!,0)</f>
        <v>0</v>
      </c>
      <c r="AI12">
        <f>IF(J12&gt;0,нормы!C9*'Задание на ножницы'!#REF!,0)</f>
        <v>0</v>
      </c>
      <c r="AK12">
        <f>IF(J12&gt;0,нормы!B9*'Задание на ножницы'!#REF!,0)</f>
        <v>0</v>
      </c>
      <c r="AL12" s="235" t="e">
        <f>IF(#REF!="решетка жалюзийная",4+('Исходные данные'!J21/52),0)</f>
        <v>#REF!</v>
      </c>
      <c r="AM12" t="e">
        <f>IF(#REF!="решетка жалюзийная",IF('Исходные данные'!J21&lt;=1000,('Исходные данные'!J21/50),IF('Исходные данные'!J21&gt;1000,('Исходные данные'!J21/50)*2,0)),0)</f>
        <v>#REF!</v>
      </c>
      <c r="AN12" t="e">
        <f>IF(#REF!="решетка жалюзийная",нормы!E10+'Задание на ножницы'!AM12*нормы!B10,0)</f>
        <v>#REF!</v>
      </c>
      <c r="AO12" t="e">
        <f>AN12*#REF!</f>
        <v>#REF!</v>
      </c>
      <c r="AP12" t="e">
        <f>IF(#REF!="МРП",нормы!C10*'Задание на ножницы'!#REF!*4,IF(#REF!="МРЗ",нормы!C10*'Задание на ножницы'!#REF!*2,0))</f>
        <v>#REF!</v>
      </c>
      <c r="AU12" t="e">
        <f>IF(#REF!&gt;0,0.024*O12,0)</f>
        <v>#REF!</v>
      </c>
      <c r="AV12" t="e">
        <f>IF(#REF!&gt;0,0.012*O12,0)</f>
        <v>#REF!</v>
      </c>
      <c r="AW12" t="e">
        <f>IF(#REF!&gt;0,0.024*O13,0)</f>
        <v>#REF!</v>
      </c>
      <c r="AX12" t="e">
        <f>IF(#REF!&gt;0,0.012*O12,0)</f>
        <v>#REF!</v>
      </c>
      <c r="AZ12" s="527">
        <f>'Исходные данные'!AK21</f>
        <v>0</v>
      </c>
      <c r="BA12" s="331">
        <f>IF(AZ12=1,0,IF(AZ12=2,'Исходные данные'!I21/'Исходные данные'!AB21+28.6,IF(AZ12=3,('Исходные данные'!I21-24)/'Исходные данные'!AB21-8.7+55.48,0)))</f>
        <v>0</v>
      </c>
      <c r="BB12" s="331">
        <f>IF(AZ12=1,0,IF(AZ12=2,('Исходные данные'!J21-17)+48.6,IF(AZ12=3,('Исходные данные'!J21-32)+64.48,0)))</f>
        <v>0</v>
      </c>
      <c r="BC12" s="530">
        <f>IF(AZ12=1,0,IF(AZ12=2,('Исходные данные'!I21/'Исходные данные'!AB21-14)/2-13,0))</f>
        <v>0</v>
      </c>
      <c r="BD12" s="531">
        <f>IF(AZ12=1,0,IF(AZ12=2,BA12-BC12-24.3,IF(AZ12=3,BA12-((('Исходные данные'!I21-24)/'Исходные данные'!AB21-28)/2)-34.14,0)))</f>
        <v>0</v>
      </c>
      <c r="BE12" s="533"/>
      <c r="BF12" s="533">
        <f t="shared" si="5"/>
        <v>0</v>
      </c>
      <c r="BG12" s="533"/>
      <c r="BJ12" s="4">
        <f>IF('Исходные данные'!K21=2,('Исходные данные'!I21-24)/'Исходные данные'!AG21-8.7+55.48-((('Исходные данные'!I21-24)/'Исходные данные'!AG21-28)/2)-31.14,0)</f>
        <v>0</v>
      </c>
      <c r="BK12" s="284">
        <v>0</v>
      </c>
      <c r="BL12" s="284">
        <f t="shared" si="6"/>
        <v>0</v>
      </c>
      <c r="BM12" s="285">
        <f t="shared" si="0"/>
        <v>0</v>
      </c>
      <c r="BO12" s="355">
        <f>IF('Задание на ножницы'!J12&gt;0,('Исходные данные'!I21-24)/'Исходные данные'!AG21-8.7,0)</f>
        <v>0</v>
      </c>
      <c r="BP12" s="355">
        <f>IF('Задание на ножницы'!J12&gt;0,BO12+55.48,0)</f>
        <v>0</v>
      </c>
      <c r="BQ12" s="355">
        <f>IF(BP12&gt;0,BP12-((('Исходные данные'!I21-24)/'Исходные данные'!AG21-28)/2)-34.14,0)</f>
        <v>0</v>
      </c>
    </row>
    <row r="13" spans="2:69" ht="33" customHeight="1" thickBot="1">
      <c r="B13" s="605"/>
      <c r="E13" s="116">
        <f t="shared" si="7"/>
        <v>7</v>
      </c>
      <c r="F13" s="429">
        <f>'Задание на ТРУМПФ'!F13</f>
        <v>0</v>
      </c>
      <c r="G13" s="426" t="str">
        <f>'Задание на ТРУМПФ'!G13</f>
        <v>-х  -</v>
      </c>
      <c r="H13" s="471"/>
      <c r="I13" s="471" t="str">
        <f>IF('Исходные данные'!K22=1,"ВГ 199.01.00.001",IF('Исходные данные'!K22=2,"ВГ 199.01.00.008","---"))</f>
        <v>---</v>
      </c>
      <c r="J13" s="431">
        <f t="shared" si="1"/>
        <v>0</v>
      </c>
      <c r="K13" s="432">
        <f t="shared" si="2"/>
        <v>0</v>
      </c>
      <c r="L13" s="433"/>
      <c r="M13" s="433"/>
      <c r="N13" s="532">
        <f t="shared" si="3"/>
        <v>0</v>
      </c>
      <c r="O13" s="433">
        <f>IF(J13&gt;0,'Исходные данные'!AB22*2*'Исходные данные'!U22,0)</f>
        <v>0</v>
      </c>
      <c r="P13" s="266" t="e">
        <f>#REF!</f>
        <v>#REF!</v>
      </c>
      <c r="Q13" s="435">
        <f t="shared" si="4"/>
        <v>0</v>
      </c>
      <c r="R13" s="438">
        <f>IF('Задание на ТРУМПФ'!L13="ТЕКИ 07.239.01.00.011/012","ТЕКИ 07.277.03.00.101",IF('Задание на ТРУМПФ'!L13="ТЕКИ 07.269.01.00.001/002",0,IF('Задание на ТРУМПФ'!L13="ТЕКИ 07.239.01.00.001/002","ТЕКИ 07.239.02.00.016",0)))</f>
        <v>0</v>
      </c>
      <c r="T13">
        <f>IF('Исходные данные'!K22=1,нормы!F5*'Задание на ножницы'!O13*2,IF('Исходные данные'!K22=2,нормы!G5*'Задание на ножницы'!O13*2,0))</f>
        <v>0</v>
      </c>
      <c r="U13">
        <f>IF('Исходные данные'!K22=1,нормы!D5*'Задание на ножницы'!O13*2,IF('Исходные данные'!K22=2,нормы!E5*'Задание на ножницы'!O13*2,0))</f>
        <v>0</v>
      </c>
      <c r="Z13">
        <f>IF(J13&gt;0,нормы!E11*'Задание на ножницы'!#REF!,0)</f>
        <v>0</v>
      </c>
      <c r="AD13">
        <f>IF(J13&gt;0,нормы!C10*'Задание на ножницы'!#REF!,0)</f>
        <v>0</v>
      </c>
      <c r="AE13">
        <f>IF(J13&gt;0,нормы!B10*'Задание на ножницы'!#REF!,0)</f>
        <v>0</v>
      </c>
      <c r="AI13">
        <f>IF(J13&gt;0,нормы!C10*'Задание на ножницы'!#REF!,0)</f>
        <v>0</v>
      </c>
      <c r="AK13">
        <f>IF(J13&gt;0,нормы!B10*'Задание на ножницы'!#REF!,0)</f>
        <v>0</v>
      </c>
      <c r="AL13" s="235" t="e">
        <f>IF(#REF!="решетка жалюзийная",4+('Исходные данные'!J22/52),0)</f>
        <v>#REF!</v>
      </c>
      <c r="AM13" t="e">
        <f>IF(#REF!="решетка жалюзийная",IF('Исходные данные'!J22&lt;=1000,('Исходные данные'!J22/50),IF('Исходные данные'!J22&gt;1000,('Исходные данные'!J22/50)*2,0)),0)</f>
        <v>#REF!</v>
      </c>
      <c r="AN13" t="e">
        <f>IF(#REF!="решетка жалюзийная",нормы!E11+'Задание на ножницы'!AM13*нормы!B11,0)</f>
        <v>#REF!</v>
      </c>
      <c r="AO13" t="e">
        <f>AN13*#REF!</f>
        <v>#REF!</v>
      </c>
      <c r="AP13" t="e">
        <f>IF(#REF!="МРП",нормы!C11*'Задание на ножницы'!#REF!*4,IF(#REF!="МРЗ",нормы!C11*'Задание на ножницы'!#REF!*2,0))</f>
        <v>#REF!</v>
      </c>
      <c r="AU13" t="e">
        <f>IF(#REF!&gt;0,0.024*O13,0)</f>
        <v>#REF!</v>
      </c>
      <c r="AV13" t="e">
        <f>IF(#REF!&gt;0,0.012*O13,0)</f>
        <v>#REF!</v>
      </c>
      <c r="AW13" t="e">
        <f>IF(#REF!&gt;0,0.024*O14,0)</f>
        <v>#REF!</v>
      </c>
      <c r="AX13" t="e">
        <f>IF(#REF!&gt;0,0.012*O13,0)</f>
        <v>#REF!</v>
      </c>
      <c r="AZ13" s="527">
        <f>'Исходные данные'!AK22</f>
        <v>0</v>
      </c>
      <c r="BA13" s="331">
        <f>IF(AZ13=1,0,IF(AZ13=2,'Исходные данные'!I22/'Исходные данные'!AB22+28.6,IF(AZ13=3,('Исходные данные'!I22-24)/'Исходные данные'!AB22-8.7+55.48,0)))</f>
        <v>0</v>
      </c>
      <c r="BB13" s="331">
        <f>IF(AZ13=1,0,IF(AZ13=2,('Исходные данные'!J22-17)+48.6,IF(AZ13=3,('Исходные данные'!J22-32)+64.48,0)))</f>
        <v>0</v>
      </c>
      <c r="BC13" s="530">
        <f>IF(AZ13=1,0,IF(AZ13=2,('Исходные данные'!I22/'Исходные данные'!AB22-14)/2-13,0))</f>
        <v>0</v>
      </c>
      <c r="BD13" s="531">
        <f>IF(AZ13=1,0,IF(AZ13=2,BA13-BC13-24.3,IF(AZ13=3,BA13-((('Исходные данные'!I22-24)/'Исходные данные'!AB22-28)/2)-34.14,0)))</f>
        <v>0</v>
      </c>
      <c r="BE13" s="533"/>
      <c r="BF13" s="533">
        <f t="shared" si="5"/>
        <v>0</v>
      </c>
      <c r="BG13" s="533"/>
      <c r="BJ13" s="4">
        <f>IF('Исходные данные'!K22=2,('Исходные данные'!I22-24)/'Исходные данные'!AG22-8.7+55.48-((('Исходные данные'!I22-24)/'Исходные данные'!AG22-28)/2)-31.14,0)</f>
        <v>0</v>
      </c>
      <c r="BK13" s="284">
        <v>0</v>
      </c>
      <c r="BL13" s="284">
        <f t="shared" si="6"/>
        <v>0</v>
      </c>
      <c r="BM13" s="285">
        <f t="shared" si="0"/>
        <v>0</v>
      </c>
      <c r="BO13" s="355">
        <f>IF('Задание на ножницы'!J13&gt;0,('Исходные данные'!I22-24)/'Исходные данные'!AG22-8.7,0)</f>
        <v>0</v>
      </c>
      <c r="BP13" s="355">
        <f>IF('Задание на ножницы'!J13&gt;0,BO13+55.48,0)</f>
        <v>0</v>
      </c>
      <c r="BQ13" s="355">
        <f>IF(BP13&gt;0,BP13-((('Исходные данные'!I22-24)/'Исходные данные'!AG22-28)/2)-34.14,0)</f>
        <v>0</v>
      </c>
    </row>
    <row r="14" spans="2:69" ht="33" customHeight="1" thickBot="1">
      <c r="B14" s="605"/>
      <c r="E14" s="116">
        <f t="shared" si="7"/>
        <v>8</v>
      </c>
      <c r="F14" s="429">
        <f>'Задание на ТРУМПФ'!F14</f>
        <v>0</v>
      </c>
      <c r="G14" s="426" t="str">
        <f>'Задание на ТРУМПФ'!G14</f>
        <v>-х  -</v>
      </c>
      <c r="H14" s="471"/>
      <c r="I14" s="471" t="str">
        <f>IF('Исходные данные'!K23=1,"ВГ 199.01.00.001",IF('Исходные данные'!K23=2,"ВГ 199.01.00.008","---"))</f>
        <v>---</v>
      </c>
      <c r="J14" s="431">
        <f t="shared" si="1"/>
        <v>0</v>
      </c>
      <c r="K14" s="432">
        <f t="shared" si="2"/>
        <v>0</v>
      </c>
      <c r="L14" s="433"/>
      <c r="M14" s="433"/>
      <c r="N14" s="532">
        <f t="shared" si="3"/>
        <v>0</v>
      </c>
      <c r="O14" s="433">
        <f>IF(J14&gt;0,'Исходные данные'!AB23*2*'Исходные данные'!U23,0)</f>
        <v>0</v>
      </c>
      <c r="P14" s="266" t="e">
        <f>#REF!</f>
        <v>#REF!</v>
      </c>
      <c r="Q14" s="435">
        <f t="shared" si="4"/>
        <v>0</v>
      </c>
      <c r="R14" s="438">
        <f>IF('Задание на ТРУМПФ'!L14="ТЕКИ 07.239.01.00.011/012","ТЕКИ 07.277.03.00.101",IF('Задание на ТРУМПФ'!L14="ТЕКИ 07.269.01.00.001/002",0,IF('Задание на ТРУМПФ'!L14="ТЕКИ 07.239.01.00.001/002","ТЕКИ 07.239.02.00.016",0)))</f>
        <v>0</v>
      </c>
      <c r="T14">
        <f>IF('Исходные данные'!K23=1,нормы!F5*'Задание на ножницы'!O14*2,IF('Исходные данные'!K23=2,нормы!G5*'Задание на ножницы'!O14*2,0))</f>
        <v>0</v>
      </c>
      <c r="U14">
        <f>IF('Исходные данные'!K23=1,нормы!D5*'Задание на ножницы'!O14*2,IF('Исходные данные'!K23=2,нормы!E5*'Задание на ножницы'!O14*2,0))</f>
        <v>0</v>
      </c>
      <c r="Z14">
        <f>IF(J14&gt;0,нормы!E12*'Задание на ножницы'!#REF!,0)</f>
        <v>0</v>
      </c>
      <c r="AD14">
        <f>IF(J14&gt;0,нормы!C11*'Задание на ножницы'!#REF!,0)</f>
        <v>0</v>
      </c>
      <c r="AE14">
        <f>IF(J14&gt;0,нормы!B11*'Задание на ножницы'!#REF!,0)</f>
        <v>0</v>
      </c>
      <c r="AI14">
        <f>IF(J14&gt;0,нормы!C11*'Задание на ножницы'!#REF!,0)</f>
        <v>0</v>
      </c>
      <c r="AK14">
        <f>IF(J14&gt;0,нормы!B11*'Задание на ножницы'!#REF!,0)</f>
        <v>0</v>
      </c>
      <c r="AL14" s="235" t="e">
        <f>IF(#REF!="решетка жалюзийная",4+('Исходные данные'!J23/52),0)</f>
        <v>#REF!</v>
      </c>
      <c r="AM14" t="e">
        <f>IF(#REF!="решетка жалюзийная",IF('Исходные данные'!J23&lt;=1000,('Исходные данные'!J23/50),IF('Исходные данные'!J23&gt;1000,('Исходные данные'!J23/50)*2,0)),0)</f>
        <v>#REF!</v>
      </c>
      <c r="AN14" t="e">
        <f>IF(#REF!="решетка жалюзийная",нормы!E12+'Задание на ножницы'!AM14*нормы!B12,0)</f>
        <v>#REF!</v>
      </c>
      <c r="AO14" t="e">
        <f>AN14*#REF!</f>
        <v>#REF!</v>
      </c>
      <c r="AP14" t="e">
        <f>IF(#REF!="МРП",нормы!C12*'Задание на ножницы'!#REF!*4,IF(#REF!="МРЗ",нормы!C12*'Задание на ножницы'!#REF!*2,0))</f>
        <v>#REF!</v>
      </c>
      <c r="AU14" t="e">
        <f>IF(#REF!&gt;0,0.024*O14,0)</f>
        <v>#REF!</v>
      </c>
      <c r="AV14" t="e">
        <f>IF(#REF!&gt;0,0.012*O14,0)</f>
        <v>#REF!</v>
      </c>
      <c r="AW14" t="e">
        <f>IF(#REF!&gt;0,0.024*O15,0)</f>
        <v>#REF!</v>
      </c>
      <c r="AX14" t="e">
        <f>IF(#REF!&gt;0,0.012*O14,0)</f>
        <v>#REF!</v>
      </c>
      <c r="AZ14" s="527">
        <f>'Исходные данные'!AK23</f>
        <v>0</v>
      </c>
      <c r="BA14" s="331">
        <f>IF(AZ14=1,0,IF(AZ14=2,'Исходные данные'!I23/'Исходные данные'!AB23+28.6,IF(AZ14=3,('Исходные данные'!I23-24)/'Исходные данные'!AB23-8.7+55.48,0)))</f>
        <v>0</v>
      </c>
      <c r="BB14" s="331">
        <f>IF(AZ14=1,0,IF(AZ14=2,('Исходные данные'!J23-17)+48.6,IF(AZ14=3,('Исходные данные'!J23-32)+64.48,0)))</f>
        <v>0</v>
      </c>
      <c r="BC14" s="530">
        <f>IF(AZ14=1,0,IF(AZ14=2,('Исходные данные'!I23/'Исходные данные'!AB23-14)/2-13,0))</f>
        <v>0</v>
      </c>
      <c r="BD14" s="531">
        <f>IF(AZ14=1,0,IF(AZ14=2,BA14-BC14-24.3,IF(AZ14=3,BA14-((('Исходные данные'!I23-24)/'Исходные данные'!AB23-28)/2)-34.14,0)))</f>
        <v>0</v>
      </c>
      <c r="BE14" s="533"/>
      <c r="BF14" s="533">
        <f t="shared" si="5"/>
        <v>0</v>
      </c>
      <c r="BG14" s="533"/>
      <c r="BJ14" s="4">
        <f>IF('Исходные данные'!K23=2,('Исходные данные'!I23-24)/'Исходные данные'!AG23-8.7+55.48-((('Исходные данные'!I23-24)/'Исходные данные'!AG23-28)/2)-31.14,0)</f>
        <v>0</v>
      </c>
      <c r="BK14" s="284">
        <v>0</v>
      </c>
      <c r="BL14" s="284">
        <f t="shared" si="6"/>
        <v>0</v>
      </c>
      <c r="BM14" s="285">
        <f t="shared" si="0"/>
        <v>0</v>
      </c>
      <c r="BO14" s="355">
        <f>IF('Задание на ножницы'!J14&gt;0,('Исходные данные'!I23-24)/'Исходные данные'!AG23-8.7,0)</f>
        <v>0</v>
      </c>
      <c r="BP14" s="355">
        <f>IF('Задание на ножницы'!J14&gt;0,BO14+55.48,0)</f>
        <v>0</v>
      </c>
      <c r="BQ14" s="355">
        <f>IF(BP14&gt;0,BP14-((('Исходные данные'!I23-24)/'Исходные данные'!AG23-28)/2)-34.14,0)</f>
        <v>0</v>
      </c>
    </row>
    <row r="15" spans="2:69" ht="33" customHeight="1" thickBot="1">
      <c r="B15" s="605"/>
      <c r="E15" s="116">
        <f t="shared" si="7"/>
        <v>9</v>
      </c>
      <c r="F15" s="429">
        <f>'Задание на ТРУМПФ'!F15</f>
        <v>0</v>
      </c>
      <c r="G15" s="426" t="str">
        <f>'Задание на ТРУМПФ'!G15</f>
        <v>-х  -</v>
      </c>
      <c r="H15" s="471"/>
      <c r="I15" s="471" t="str">
        <f>IF('Исходные данные'!K24=1,"ВГ 199.01.00.001",IF('Исходные данные'!K24=2,"ВГ 199.01.00.008","---"))</f>
        <v>---</v>
      </c>
      <c r="J15" s="431">
        <f t="shared" si="1"/>
        <v>0</v>
      </c>
      <c r="K15" s="432">
        <f t="shared" si="2"/>
        <v>0</v>
      </c>
      <c r="L15" s="433"/>
      <c r="M15" s="433"/>
      <c r="N15" s="532">
        <f t="shared" si="3"/>
        <v>0</v>
      </c>
      <c r="O15" s="433">
        <f>IF(J15&gt;0,'Исходные данные'!AB24*2*'Исходные данные'!U24,0)</f>
        <v>0</v>
      </c>
      <c r="P15" s="266" t="e">
        <f>#REF!</f>
        <v>#REF!</v>
      </c>
      <c r="Q15" s="435">
        <f t="shared" si="4"/>
        <v>0</v>
      </c>
      <c r="R15" s="438">
        <f>IF('Задание на ТРУМПФ'!L15="ТЕКИ 07.239.01.00.011/012","ТЕКИ 07.277.03.00.101",IF('Задание на ТРУМПФ'!L15="ТЕКИ 07.269.01.00.001/002",0,IF('Задание на ТРУМПФ'!L15="ТЕКИ 07.239.01.00.001/002","ТЕКИ 07.239.02.00.016",0)))</f>
        <v>0</v>
      </c>
      <c r="T15">
        <f>IF('Исходные данные'!K24=1,нормы!F5*'Задание на ножницы'!O15*2,IF('Исходные данные'!K24=2,нормы!G5*'Задание на ножницы'!O15*2,0))</f>
        <v>0</v>
      </c>
      <c r="U15">
        <f>IF('Исходные данные'!K24=1,нормы!D5*'Задание на ножницы'!O15*2,IF('Исходные данные'!K24=2,нормы!E5*'Задание на ножницы'!O15*2,0))</f>
        <v>0</v>
      </c>
      <c r="Z15">
        <f>IF(J15&gt;0,нормы!E13*'Задание на ножницы'!#REF!,0)</f>
        <v>0</v>
      </c>
      <c r="AD15">
        <f>IF(J15&gt;0,нормы!C12*'Задание на ножницы'!#REF!,0)</f>
        <v>0</v>
      </c>
      <c r="AE15">
        <f>IF(J15&gt;0,нормы!B12*'Задание на ножницы'!#REF!,0)</f>
        <v>0</v>
      </c>
      <c r="AI15">
        <f>IF(J15&gt;0,нормы!C12*'Задание на ножницы'!#REF!,0)</f>
        <v>0</v>
      </c>
      <c r="AK15">
        <f>IF(J15&gt;0,нормы!B12*'Задание на ножницы'!#REF!,0)</f>
        <v>0</v>
      </c>
      <c r="AL15" s="235" t="e">
        <f>IF(#REF!="решетка жалюзийная",4+('Исходные данные'!J24/52),0)</f>
        <v>#REF!</v>
      </c>
      <c r="AM15" t="e">
        <f>IF(#REF!="решетка жалюзийная",IF('Исходные данные'!J24&lt;=1000,('Исходные данные'!J24/50),IF('Исходные данные'!J24&gt;1000,('Исходные данные'!J24/50)*2,0)),0)</f>
        <v>#REF!</v>
      </c>
      <c r="AN15" t="e">
        <f>IF(#REF!="решетка жалюзийная",нормы!E13+'Задание на ножницы'!AM15*нормы!B13,0)</f>
        <v>#REF!</v>
      </c>
      <c r="AO15" t="e">
        <f>AN15*#REF!</f>
        <v>#REF!</v>
      </c>
      <c r="AP15" t="e">
        <f>IF(#REF!="МРП",нормы!C13*'Задание на ножницы'!#REF!*4,IF(#REF!="МРЗ",нормы!C13*'Задание на ножницы'!#REF!*2,0))</f>
        <v>#REF!</v>
      </c>
      <c r="AU15" t="e">
        <f>IF(#REF!&gt;0,0.024*O15,0)</f>
        <v>#REF!</v>
      </c>
      <c r="AV15" t="e">
        <f>IF(#REF!&gt;0,0.012*O15,0)</f>
        <v>#REF!</v>
      </c>
      <c r="AW15" t="e">
        <f>IF(#REF!&gt;0,0.024*O16,0)</f>
        <v>#REF!</v>
      </c>
      <c r="AX15" t="e">
        <f>IF(#REF!&gt;0,0.012*O15,0)</f>
        <v>#REF!</v>
      </c>
      <c r="AZ15" s="527">
        <f>'Исходные данные'!AK24</f>
        <v>0</v>
      </c>
      <c r="BA15" s="331">
        <f>IF(AZ15=1,0,IF(AZ15=2,'Исходные данные'!I24/'Исходные данные'!AB24+28.6,IF(AZ15=3,('Исходные данные'!I24-24)/'Исходные данные'!AB24-8.7+55.48,0)))</f>
        <v>0</v>
      </c>
      <c r="BB15" s="331">
        <f>IF(AZ15=1,0,IF(AZ15=2,('Исходные данные'!J24-17)+48.6,IF(AZ15=3,('Исходные данные'!J24-32)+64.48,0)))</f>
        <v>0</v>
      </c>
      <c r="BC15" s="530">
        <f>IF(AZ15=1,0,IF(AZ15=2,('Исходные данные'!I24/'Исходные данные'!AB24-14)/2-13,0))</f>
        <v>0</v>
      </c>
      <c r="BD15" s="531">
        <f>IF(AZ15=1,0,IF(AZ15=2,BA15-BC15-24.3,IF(AZ15=3,BA15-((('Исходные данные'!I24-24)/'Исходные данные'!AB24-28)/2)-34.14,0)))</f>
        <v>0</v>
      </c>
      <c r="BE15" s="533"/>
      <c r="BF15" s="533">
        <f t="shared" si="5"/>
        <v>0</v>
      </c>
      <c r="BG15" s="533"/>
      <c r="BJ15" s="4">
        <f>IF('Исходные данные'!K24=2,('Исходные данные'!I24-24)/'Исходные данные'!AG24-8.7+55.48-((('Исходные данные'!I24-24)/'Исходные данные'!AG24-28)/2)-31.14,0)</f>
        <v>0</v>
      </c>
      <c r="BK15" s="284">
        <v>0</v>
      </c>
      <c r="BL15" s="284">
        <f t="shared" si="6"/>
        <v>0</v>
      </c>
      <c r="BM15" s="285">
        <f t="shared" si="0"/>
        <v>0</v>
      </c>
      <c r="BO15" s="355">
        <f>IF('Задание на ножницы'!J15&gt;0,('Исходные данные'!I24-24)/'Исходные данные'!AG24-8.7,0)</f>
        <v>0</v>
      </c>
      <c r="BP15" s="355">
        <f>IF('Задание на ножницы'!J15&gt;0,BO15+55.48,0)</f>
        <v>0</v>
      </c>
      <c r="BQ15" s="355">
        <f>IF(BP15&gt;0,BP15-((('Исходные данные'!I24-24)/'Исходные данные'!AG24-28)/2)-34.14,0)</f>
        <v>0</v>
      </c>
    </row>
    <row r="16" spans="2:69" ht="33" customHeight="1" thickBot="1">
      <c r="B16" s="605"/>
      <c r="E16" s="116">
        <f t="shared" si="7"/>
        <v>10</v>
      </c>
      <c r="F16" s="429">
        <f>'Задание на ТРУМПФ'!F16</f>
        <v>0</v>
      </c>
      <c r="G16" s="426" t="str">
        <f>'Задание на ТРУМПФ'!G16</f>
        <v>-х  -</v>
      </c>
      <c r="H16" s="471"/>
      <c r="I16" s="471" t="str">
        <f>IF('Исходные данные'!K25=1,"ВГ 199.01.00.001",IF('Исходные данные'!K25=2,"ВГ 199.01.00.008","---"))</f>
        <v>---</v>
      </c>
      <c r="J16" s="431">
        <f t="shared" si="1"/>
        <v>0</v>
      </c>
      <c r="K16" s="432">
        <f t="shared" si="2"/>
        <v>0</v>
      </c>
      <c r="L16" s="433"/>
      <c r="M16" s="433"/>
      <c r="N16" s="532">
        <f t="shared" si="3"/>
        <v>0</v>
      </c>
      <c r="O16" s="433">
        <f>IF(J16&gt;0,'Исходные данные'!AB25*2*'Исходные данные'!U25,0)</f>
        <v>0</v>
      </c>
      <c r="P16" s="266" t="e">
        <f>#REF!</f>
        <v>#REF!</v>
      </c>
      <c r="Q16" s="435">
        <f t="shared" si="4"/>
        <v>0</v>
      </c>
      <c r="R16" s="438">
        <f>IF('Задание на ТРУМПФ'!L16="ТЕКИ 07.239.01.00.011/012","ТЕКИ 07.277.03.00.101",IF('Задание на ТРУМПФ'!L16="ТЕКИ 07.269.01.00.001/002",0,IF('Задание на ТРУМПФ'!L16="ТЕКИ 07.239.01.00.001/002","ТЕКИ 07.239.02.00.016",0)))</f>
        <v>0</v>
      </c>
      <c r="T16">
        <f>IF('Исходные данные'!K25=1,нормы!F5*'Задание на ножницы'!O16*2,IF('Исходные данные'!K25=2,нормы!G5*'Задание на ножницы'!O16*2,0))</f>
        <v>0</v>
      </c>
      <c r="U16">
        <f>IF('Исходные данные'!K25=1,нормы!D5*'Задание на ножницы'!O16*2,IF('Исходные данные'!K25=2,нормы!E5*'Задание на ножницы'!O16*2,0))</f>
        <v>0</v>
      </c>
      <c r="Z16">
        <f>IF(J16&gt;0,нормы!E14*'Задание на ножницы'!#REF!,0)</f>
        <v>0</v>
      </c>
      <c r="AD16">
        <f>IF(J16&gt;0,нормы!C13*'Задание на ножницы'!#REF!,0)</f>
        <v>0</v>
      </c>
      <c r="AE16">
        <f>IF(J16&gt;0,нормы!B13*'Задание на ножницы'!#REF!,0)</f>
        <v>0</v>
      </c>
      <c r="AI16">
        <f>IF(J16&gt;0,нормы!C13*'Задание на ножницы'!#REF!,0)</f>
        <v>0</v>
      </c>
      <c r="AK16">
        <f>IF(J16&gt;0,нормы!B13*'Задание на ножницы'!#REF!,0)</f>
        <v>0</v>
      </c>
      <c r="AL16" s="235" t="e">
        <f>IF(#REF!="решетка жалюзийная",4+('Исходные данные'!J25/52),0)</f>
        <v>#REF!</v>
      </c>
      <c r="AM16" t="e">
        <f>IF(#REF!="решетка жалюзийная",IF('Исходные данные'!J25&lt;=1000,('Исходные данные'!J25/50),IF('Исходные данные'!J25&gt;1000,('Исходные данные'!J25/50)*2,0)),0)</f>
        <v>#REF!</v>
      </c>
      <c r="AN16" t="e">
        <f>IF(#REF!="решетка жалюзийная",нормы!E14+'Задание на ножницы'!AM16*нормы!B14,0)</f>
        <v>#REF!</v>
      </c>
      <c r="AO16" t="e">
        <f>AN16*#REF!</f>
        <v>#REF!</v>
      </c>
      <c r="AP16" t="e">
        <f>IF(#REF!="МРП",нормы!C14*'Задание на ножницы'!#REF!*4,IF(#REF!="МРЗ",нормы!C14*'Задание на ножницы'!#REF!*2,0))</f>
        <v>#REF!</v>
      </c>
      <c r="AU16" t="e">
        <f>IF(#REF!&gt;0,0.024*O16,0)</f>
        <v>#REF!</v>
      </c>
      <c r="AV16" t="e">
        <f>IF(#REF!&gt;0,0.012*O16,0)</f>
        <v>#REF!</v>
      </c>
      <c r="AW16" t="e">
        <f>IF(#REF!&gt;0,0.024*O17,0)</f>
        <v>#REF!</v>
      </c>
      <c r="AX16" t="e">
        <f>IF(#REF!&gt;0,0.012*O16,0)</f>
        <v>#REF!</v>
      </c>
      <c r="AZ16" s="527">
        <f>'Исходные данные'!AK25</f>
        <v>0</v>
      </c>
      <c r="BA16" s="331">
        <f>IF(AZ16=1,0,IF(AZ16=2,'Исходные данные'!I25/'Исходные данные'!AB25+28.6,IF(AZ16=3,('Исходные данные'!I25-24)/'Исходные данные'!AB25-8.7+55.48,0)))</f>
        <v>0</v>
      </c>
      <c r="BB16" s="331">
        <f>IF(AZ16=1,0,IF(AZ16=2,('Исходные данные'!J25-17)+48.6,IF(AZ16=3,('Исходные данные'!J25-32)+64.48,0)))</f>
        <v>0</v>
      </c>
      <c r="BC16" s="530">
        <f>IF(AZ16=1,0,IF(AZ16=2,('Исходные данные'!I25/'Исходные данные'!AB25-14)/2-13,0))</f>
        <v>0</v>
      </c>
      <c r="BD16" s="531">
        <f>IF(AZ16=1,0,IF(AZ16=2,BA16-BC16-24.3,IF(AZ16=3,BA16-((('Исходные данные'!I25-24)/'Исходные данные'!AB25-28)/2)-34.14,0)))</f>
        <v>0</v>
      </c>
      <c r="BE16" s="533"/>
      <c r="BF16" s="533">
        <f t="shared" si="5"/>
        <v>0</v>
      </c>
      <c r="BG16" s="533"/>
      <c r="BJ16" s="4">
        <f>IF('Исходные данные'!K25=2,('Исходные данные'!I25-24)/'Исходные данные'!AG25-8.7+55.48-((('Исходные данные'!I25-24)/'Исходные данные'!AG25-28)/2)-31.14,0)</f>
        <v>0</v>
      </c>
      <c r="BK16" s="284">
        <v>0</v>
      </c>
      <c r="BL16" s="284">
        <f t="shared" si="6"/>
        <v>0</v>
      </c>
      <c r="BM16" s="285">
        <f t="shared" si="0"/>
        <v>0</v>
      </c>
      <c r="BO16" s="355">
        <f>IF('Задание на ножницы'!J16&gt;0,('Исходные данные'!I25-24)/'Исходные данные'!AG25-8.7,0)</f>
        <v>0</v>
      </c>
      <c r="BP16" s="355">
        <f>IF('Задание на ножницы'!J16&gt;0,BO16+55.48,0)</f>
        <v>0</v>
      </c>
      <c r="BQ16" s="355">
        <f>IF(BP16&gt;0,BP16-((('Исходные данные'!I25-24)/'Исходные данные'!AG25-28)/2)-34.14,0)</f>
        <v>0</v>
      </c>
    </row>
    <row r="17" spans="1:69" ht="33" customHeight="1" thickBot="1">
      <c r="B17" s="605"/>
      <c r="C17" s="606" t="s">
        <v>158</v>
      </c>
      <c r="D17" s="607"/>
      <c r="E17" s="116">
        <f t="shared" si="7"/>
        <v>11</v>
      </c>
      <c r="F17" s="429">
        <f>'Задание на ТРУМПФ'!F17</f>
        <v>0</v>
      </c>
      <c r="G17" s="426" t="str">
        <f>'Задание на ТРУМПФ'!G17</f>
        <v>-х  -</v>
      </c>
      <c r="H17" s="471"/>
      <c r="I17" s="471" t="str">
        <f>IF('Исходные данные'!K26=1,"ВГ 199.01.00.001",IF('Исходные данные'!K26=2,"ВГ 199.01.00.008","---"))</f>
        <v>---</v>
      </c>
      <c r="J17" s="431">
        <f t="shared" si="1"/>
        <v>0</v>
      </c>
      <c r="K17" s="432">
        <f t="shared" si="2"/>
        <v>0</v>
      </c>
      <c r="L17" s="433"/>
      <c r="M17" s="433"/>
      <c r="N17" s="532">
        <f t="shared" si="3"/>
        <v>0</v>
      </c>
      <c r="O17" s="433">
        <f>IF(J17&gt;0,'Исходные данные'!AB26*2*'Исходные данные'!U26,0)</f>
        <v>0</v>
      </c>
      <c r="P17" s="266" t="e">
        <f>#REF!</f>
        <v>#REF!</v>
      </c>
      <c r="Q17" s="435">
        <f t="shared" si="4"/>
        <v>0</v>
      </c>
      <c r="R17" s="438">
        <f>IF('Задание на ТРУМПФ'!L17="ТЕКИ 07.239.01.00.011/012","ТЕКИ 07.277.03.00.101",IF('Задание на ТРУМПФ'!L17="ТЕКИ 07.269.01.00.001/002",0,IF('Задание на ТРУМПФ'!L17="ТЕКИ 07.239.01.00.001/002","ТЕКИ 07.239.02.00.016",0)))</f>
        <v>0</v>
      </c>
      <c r="T17">
        <f>IF('Исходные данные'!K26=1,нормы!F5*'Задание на ножницы'!O17*2,IF('Исходные данные'!K26=2,нормы!G5*'Задание на ножницы'!O17*2,0))</f>
        <v>0</v>
      </c>
      <c r="U17">
        <f>IF('Исходные данные'!K26=1,нормы!D5*'Задание на ножницы'!O17*2,IF('Исходные данные'!K26=2,нормы!E5*'Задание на ножницы'!O17*2,0))</f>
        <v>0</v>
      </c>
      <c r="Z17">
        <f>IF(J17&gt;0,нормы!E15*'Задание на ножницы'!#REF!,0)</f>
        <v>0</v>
      </c>
      <c r="AD17">
        <f>IF(J17&gt;0,нормы!C14*'Задание на ножницы'!#REF!,0)</f>
        <v>0</v>
      </c>
      <c r="AE17">
        <f>IF(J17&gt;0,нормы!B14*'Задание на ножницы'!#REF!,0)</f>
        <v>0</v>
      </c>
      <c r="AI17">
        <f>IF(J17&gt;0,нормы!C14*'Задание на ножницы'!#REF!,0)</f>
        <v>0</v>
      </c>
      <c r="AK17">
        <f>IF(J17&gt;0,нормы!B14*'Задание на ножницы'!#REF!,0)</f>
        <v>0</v>
      </c>
      <c r="AL17" s="235" t="e">
        <f>IF(#REF!="решетка жалюзийная",4+('Исходные данные'!J26/52),0)</f>
        <v>#REF!</v>
      </c>
      <c r="AM17" t="e">
        <f>IF(#REF!="решетка жалюзийная",IF('Исходные данные'!J26&lt;=1000,('Исходные данные'!J26/50),IF('Исходные данные'!J26&gt;1000,('Исходные данные'!J26/50)*2,0)),0)</f>
        <v>#REF!</v>
      </c>
      <c r="AN17" t="e">
        <f>IF(#REF!="решетка жалюзийная",нормы!E15+'Задание на ножницы'!AM17*нормы!B15,0)</f>
        <v>#REF!</v>
      </c>
      <c r="AO17" t="e">
        <f>AN17*#REF!</f>
        <v>#REF!</v>
      </c>
      <c r="AP17" t="e">
        <f>IF(#REF!="МРП",нормы!C15*'Задание на ножницы'!#REF!*4,IF(#REF!="МРЗ",нормы!C15*'Задание на ножницы'!#REF!*2,0))</f>
        <v>#REF!</v>
      </c>
      <c r="AU17" t="e">
        <f>IF(#REF!&gt;0,0.024*O17,0)</f>
        <v>#REF!</v>
      </c>
      <c r="AV17" t="e">
        <f>IF(#REF!&gt;0,0.012*O17,0)</f>
        <v>#REF!</v>
      </c>
      <c r="AW17" t="e">
        <f>IF(#REF!&gt;0,0.024*O18,0)</f>
        <v>#REF!</v>
      </c>
      <c r="AX17" t="e">
        <f>IF(#REF!&gt;0,0.012*O17,0)</f>
        <v>#REF!</v>
      </c>
      <c r="AZ17" s="527">
        <f>'Исходные данные'!AK26</f>
        <v>0</v>
      </c>
      <c r="BA17" s="331">
        <f>IF(AZ17=1,0,IF(AZ17=2,'Исходные данные'!I26/'Исходные данные'!AB26+28.6,IF(AZ17=3,('Исходные данные'!I26-24)/'Исходные данные'!AB26-8.7+55.48,0)))</f>
        <v>0</v>
      </c>
      <c r="BB17" s="331">
        <f>IF(AZ17=1,0,IF(AZ17=2,('Исходные данные'!J26-17)+48.6,IF(AZ17=3,('Исходные данные'!J26-32)+64.48,0)))</f>
        <v>0</v>
      </c>
      <c r="BC17" s="530">
        <f>IF(AZ17=1,0,IF(AZ17=2,('Исходные данные'!I26/'Исходные данные'!AB26-14)/2-13,0))</f>
        <v>0</v>
      </c>
      <c r="BD17" s="531">
        <f>IF(AZ17=1,0,IF(AZ17=2,BA17-BC17-24.3,IF(AZ17=3,BA17-((('Исходные данные'!I26-24)/'Исходные данные'!AB26-28)/2)-34.14,0)))</f>
        <v>0</v>
      </c>
      <c r="BE17" s="533"/>
      <c r="BF17" s="533">
        <f t="shared" si="5"/>
        <v>0</v>
      </c>
      <c r="BG17" s="533"/>
      <c r="BJ17" s="4">
        <f>IF('Исходные данные'!K26=2,('Исходные данные'!I26-24)/'Исходные данные'!AG26-8.7+55.48-((('Исходные данные'!I26-24)/'Исходные данные'!AG26-28)/2)-31.14,0)</f>
        <v>0</v>
      </c>
      <c r="BK17" s="284">
        <v>0</v>
      </c>
      <c r="BL17" s="284">
        <f t="shared" si="6"/>
        <v>0</v>
      </c>
      <c r="BM17" s="285">
        <f t="shared" si="0"/>
        <v>0</v>
      </c>
      <c r="BO17" s="355">
        <f>IF('Задание на ножницы'!J17&gt;0,('Исходные данные'!I26-24)/'Исходные данные'!AG26-8.7,0)</f>
        <v>0</v>
      </c>
      <c r="BP17" s="355">
        <f>IF('Задание на ножницы'!J17&gt;0,BO17+55.48,0)</f>
        <v>0</v>
      </c>
      <c r="BQ17" s="355">
        <f>IF(BP17&gt;0,BP17-((('Исходные данные'!I26-24)/'Исходные данные'!AG26-28)/2)-34.14,0)</f>
        <v>0</v>
      </c>
    </row>
    <row r="18" spans="1:69" ht="33" customHeight="1" thickBot="1">
      <c r="B18" s="605"/>
      <c r="C18" s="606"/>
      <c r="D18" s="607"/>
      <c r="E18" s="116">
        <f t="shared" si="7"/>
        <v>12</v>
      </c>
      <c r="F18" s="429">
        <f>'Задание на ТРУМПФ'!F18</f>
        <v>0</v>
      </c>
      <c r="G18" s="426" t="str">
        <f>'Задание на ТРУМПФ'!G18</f>
        <v>-х  -</v>
      </c>
      <c r="H18" s="471"/>
      <c r="I18" s="471" t="str">
        <f>IF('Исходные данные'!K27=1,"ВГ 199.01.00.001",IF('Исходные данные'!K27=2,"ВГ 199.01.00.008","---"))</f>
        <v>---</v>
      </c>
      <c r="J18" s="431">
        <f t="shared" si="1"/>
        <v>0</v>
      </c>
      <c r="K18" s="432">
        <f t="shared" si="2"/>
        <v>0</v>
      </c>
      <c r="L18" s="433"/>
      <c r="M18" s="433"/>
      <c r="N18" s="532">
        <f t="shared" si="3"/>
        <v>0</v>
      </c>
      <c r="O18" s="433">
        <f>IF(J18&gt;0,'Исходные данные'!AB27*2*'Исходные данные'!U27,0)</f>
        <v>0</v>
      </c>
      <c r="P18" s="266" t="e">
        <f>#REF!</f>
        <v>#REF!</v>
      </c>
      <c r="Q18" s="435">
        <f t="shared" si="4"/>
        <v>0</v>
      </c>
      <c r="R18" s="438">
        <f>IF('Задание на ТРУМПФ'!L18="ТЕКИ 07.239.01.00.011/012","ТЕКИ 07.277.03.00.101",IF('Задание на ТРУМПФ'!L18="ТЕКИ 07.269.01.00.001/002",0,IF('Задание на ТРУМПФ'!L18="ТЕКИ 07.239.01.00.001/002","ТЕКИ 07.239.02.00.016",0)))</f>
        <v>0</v>
      </c>
      <c r="T18">
        <f>IF('Исходные данные'!K27=1,нормы!F5*'Задание на ножницы'!O18*2,IF('Исходные данные'!K27=2,нормы!G5*'Задание на ножницы'!O18*2,0))</f>
        <v>0</v>
      </c>
      <c r="U18">
        <f>IF('Исходные данные'!K27=1,нормы!D5*'Задание на ножницы'!O18*2,IF('Исходные данные'!K27=2,нормы!E5*'Задание на ножницы'!O18*2,0))</f>
        <v>0</v>
      </c>
      <c r="Z18">
        <f>IF(J18&gt;0,нормы!E16*'Задание на ножницы'!#REF!,0)</f>
        <v>0</v>
      </c>
      <c r="AD18">
        <f>IF(J18&gt;0,нормы!C15*'Задание на ножницы'!#REF!,0)</f>
        <v>0</v>
      </c>
      <c r="AE18">
        <f>IF(J18&gt;0,нормы!B15*'Задание на ножницы'!#REF!,0)</f>
        <v>0</v>
      </c>
      <c r="AI18">
        <f>IF(J18&gt;0,нормы!C15*'Задание на ножницы'!#REF!,0)</f>
        <v>0</v>
      </c>
      <c r="AK18">
        <f>IF(J18&gt;0,нормы!B15*'Задание на ножницы'!#REF!,0)</f>
        <v>0</v>
      </c>
      <c r="AL18" s="235" t="e">
        <f>IF(#REF!="решетка жалюзийная",4+('Исходные данные'!J27/52),0)</f>
        <v>#REF!</v>
      </c>
      <c r="AM18" t="e">
        <f>IF(#REF!="решетка жалюзийная",IF('Исходные данные'!J27&lt;=1000,('Исходные данные'!J27/50),IF('Исходные данные'!J27&gt;1000,('Исходные данные'!J27/50)*2,0)),0)</f>
        <v>#REF!</v>
      </c>
      <c r="AN18" t="e">
        <f>IF(#REF!="решетка жалюзийная",нормы!E16+'Задание на ножницы'!AM18*нормы!B16,0)</f>
        <v>#REF!</v>
      </c>
      <c r="AO18" t="e">
        <f>AN18*#REF!</f>
        <v>#REF!</v>
      </c>
      <c r="AP18" t="e">
        <f>IF(#REF!="МРП",нормы!C16*'Задание на ножницы'!#REF!*4,IF(#REF!="МРЗ",нормы!C16*'Задание на ножницы'!#REF!*2,0))</f>
        <v>#REF!</v>
      </c>
      <c r="AU18" t="e">
        <f>IF(#REF!&gt;0,0.024*O18,0)</f>
        <v>#REF!</v>
      </c>
      <c r="AV18" t="e">
        <f>IF(#REF!&gt;0,0.012*O18,0)</f>
        <v>#REF!</v>
      </c>
      <c r="AW18" t="e">
        <f>IF(#REF!&gt;0,0.024*O19,0)</f>
        <v>#REF!</v>
      </c>
      <c r="AX18" t="e">
        <f>IF(#REF!&gt;0,0.012*O18,0)</f>
        <v>#REF!</v>
      </c>
      <c r="AZ18" s="527">
        <f>'Исходные данные'!AK27</f>
        <v>0</v>
      </c>
      <c r="BA18" s="331">
        <f>IF(AZ18=1,0,IF(AZ18=2,'Исходные данные'!I27/'Исходные данные'!AB27+28.6,IF(AZ18=3,('Исходные данные'!I27-24)/'Исходные данные'!AB27-8.7+55.48,0)))</f>
        <v>0</v>
      </c>
      <c r="BB18" s="331">
        <f>IF(AZ18=1,0,IF(AZ18=2,('Исходные данные'!J27-17)+48.6,IF(AZ18=3,('Исходные данные'!J27-32)+64.48,0)))</f>
        <v>0</v>
      </c>
      <c r="BC18" s="530">
        <f>IF(AZ18=1,0,IF(AZ18=2,('Исходные данные'!I27/'Исходные данные'!AB27-14)/2-13,0))</f>
        <v>0</v>
      </c>
      <c r="BD18" s="531">
        <f>IF(AZ18=1,0,IF(AZ18=2,BA18-BC18-24.3,IF(AZ18=3,BA18-((('Исходные данные'!I27-24)/'Исходные данные'!AB27-28)/2)-34.14,0)))</f>
        <v>0</v>
      </c>
      <c r="BE18" s="533"/>
      <c r="BF18" s="533">
        <f t="shared" si="5"/>
        <v>0</v>
      </c>
      <c r="BG18" s="533"/>
      <c r="BJ18" s="4">
        <f>IF('Исходные данные'!K27=2,('Исходные данные'!I27-24)/'Исходные данные'!AG27-8.7+55.48-((('Исходные данные'!I27-24)/'Исходные данные'!AG27-28)/2)-31.14,0)</f>
        <v>0</v>
      </c>
      <c r="BK18" s="284">
        <v>0</v>
      </c>
      <c r="BL18" s="284">
        <f t="shared" si="6"/>
        <v>0</v>
      </c>
      <c r="BM18" s="285">
        <f t="shared" si="0"/>
        <v>0</v>
      </c>
      <c r="BO18" s="355">
        <f>IF('Задание на ножницы'!J18&gt;0,('Исходные данные'!I27-24)/'Исходные данные'!AG27-8.7,0)</f>
        <v>0</v>
      </c>
      <c r="BP18" s="355">
        <f>IF('Задание на ножницы'!J18&gt;0,BO18+55.48,0)</f>
        <v>0</v>
      </c>
      <c r="BQ18" s="355">
        <f>IF(BP18&gt;0,BP18-((('Исходные данные'!I27-24)/'Исходные данные'!AG27-28)/2)-34.14,0)</f>
        <v>0</v>
      </c>
    </row>
    <row r="19" spans="1:69" ht="33" customHeight="1" thickBot="1">
      <c r="B19" s="605"/>
      <c r="C19" s="606"/>
      <c r="D19" s="607"/>
      <c r="E19" s="116">
        <f t="shared" si="7"/>
        <v>13</v>
      </c>
      <c r="F19" s="429">
        <f>'Задание на ТРУМПФ'!F19</f>
        <v>0</v>
      </c>
      <c r="G19" s="426" t="str">
        <f>'Задание на ТРУМПФ'!G19</f>
        <v>-х  -</v>
      </c>
      <c r="H19" s="471"/>
      <c r="I19" s="471" t="str">
        <f>IF('Исходные данные'!K28=1,"ВГ 199.01.00.001",IF('Исходные данные'!K28=2,"ВГ 199.01.00.008","---"))</f>
        <v>---</v>
      </c>
      <c r="J19" s="431">
        <f t="shared" si="1"/>
        <v>0</v>
      </c>
      <c r="K19" s="432">
        <f t="shared" si="2"/>
        <v>0</v>
      </c>
      <c r="L19" s="433"/>
      <c r="M19" s="433"/>
      <c r="N19" s="532">
        <f t="shared" si="3"/>
        <v>0</v>
      </c>
      <c r="O19" s="433">
        <f>IF(J19&gt;0,'Исходные данные'!AB28*2*'Исходные данные'!U28,0)</f>
        <v>0</v>
      </c>
      <c r="P19" s="266" t="e">
        <f>#REF!</f>
        <v>#REF!</v>
      </c>
      <c r="Q19" s="435">
        <f t="shared" si="4"/>
        <v>0</v>
      </c>
      <c r="R19" s="438">
        <f>IF('Задание на ТРУМПФ'!L19="ТЕКИ 07.239.01.00.011/012","ТЕКИ 07.277.03.00.101",IF('Задание на ТРУМПФ'!L19="ТЕКИ 07.269.01.00.001/002",0,IF('Задание на ТРУМПФ'!L19="ТЕКИ 07.239.01.00.001/002","ТЕКИ 07.239.02.00.016",0)))</f>
        <v>0</v>
      </c>
      <c r="T19">
        <f>IF('Исходные данные'!K28=1,нормы!F5*'Задание на ножницы'!O19*2,IF('Исходные данные'!K28=2,нормы!G5*'Задание на ножницы'!O19*2,0))</f>
        <v>0</v>
      </c>
      <c r="U19">
        <f>IF('Исходные данные'!K28=1,нормы!D5*'Задание на ножницы'!O19*2,IF('Исходные данные'!K28=2,нормы!E5*'Задание на ножницы'!O19*2,0))</f>
        <v>0</v>
      </c>
      <c r="Z19">
        <f>IF(J19&gt;0,нормы!E17*'Задание на ножницы'!#REF!,0)</f>
        <v>0</v>
      </c>
      <c r="AD19">
        <f>IF(J19&gt;0,нормы!C16*'Задание на ножницы'!#REF!,0)</f>
        <v>0</v>
      </c>
      <c r="AE19">
        <f>IF(J19&gt;0,нормы!B16*'Задание на ножницы'!#REF!,0)</f>
        <v>0</v>
      </c>
      <c r="AI19">
        <f>IF(J19&gt;0,нормы!C16*'Задание на ножницы'!#REF!,0)</f>
        <v>0</v>
      </c>
      <c r="AK19">
        <f>IF(J19&gt;0,нормы!B16*'Задание на ножницы'!#REF!,0)</f>
        <v>0</v>
      </c>
      <c r="AL19" s="235" t="e">
        <f>IF(#REF!="решетка жалюзийная",4+('Исходные данные'!J28/52),0)</f>
        <v>#REF!</v>
      </c>
      <c r="AM19" t="e">
        <f>IF(#REF!="решетка жалюзийная",IF('Исходные данные'!J28&lt;=1000,('Исходные данные'!J28/50),IF('Исходные данные'!J28&gt;1000,('Исходные данные'!J28/50)*2,0)),0)</f>
        <v>#REF!</v>
      </c>
      <c r="AN19" t="e">
        <f>IF(#REF!="решетка жалюзийная",нормы!E17+'Задание на ножницы'!AM19*нормы!B17,0)</f>
        <v>#REF!</v>
      </c>
      <c r="AO19" t="e">
        <f>AN19*#REF!</f>
        <v>#REF!</v>
      </c>
      <c r="AP19" t="e">
        <f>IF(#REF!="МРП",нормы!C17*'Задание на ножницы'!#REF!*4,IF(#REF!="МРЗ",нормы!C17*'Задание на ножницы'!#REF!*2,0))</f>
        <v>#REF!</v>
      </c>
      <c r="AU19" t="e">
        <f>IF(#REF!&gt;0,0.024*O19,0)</f>
        <v>#REF!</v>
      </c>
      <c r="AV19" t="e">
        <f>IF(#REF!&gt;0,0.012*O19,0)</f>
        <v>#REF!</v>
      </c>
      <c r="AW19" t="e">
        <f>IF(#REF!&gt;0,0.024*O20,0)</f>
        <v>#REF!</v>
      </c>
      <c r="AX19" t="e">
        <f>IF(#REF!&gt;0,0.012*O19,0)</f>
        <v>#REF!</v>
      </c>
      <c r="AZ19" s="527">
        <f>'Исходные данные'!AK28</f>
        <v>0</v>
      </c>
      <c r="BA19" s="331">
        <f>IF(AZ19=1,0,IF(AZ19=2,'Исходные данные'!I28/'Исходные данные'!AB28+28.6,IF(AZ19=3,('Исходные данные'!I28-24)/'Исходные данные'!AB28-8.7+55.48,0)))</f>
        <v>0</v>
      </c>
      <c r="BB19" s="331">
        <f>IF(AZ19=1,0,IF(AZ19=2,('Исходные данные'!J28-17)+48.6,IF(AZ19=3,('Исходные данные'!J28-32)+64.48,0)))</f>
        <v>0</v>
      </c>
      <c r="BC19" s="530">
        <f>IF(AZ19=1,0,IF(AZ19=2,('Исходные данные'!I28/'Исходные данные'!AB28-14)/2-13,0))</f>
        <v>0</v>
      </c>
      <c r="BD19" s="531">
        <f>IF(AZ19=1,0,IF(AZ19=2,BA19-BC19-24.3,IF(AZ19=3,BA19-((('Исходные данные'!I28-24)/'Исходные данные'!AB28-28)/2)-34.14,0)))</f>
        <v>0</v>
      </c>
      <c r="BE19" s="533"/>
      <c r="BF19" s="533">
        <f t="shared" si="5"/>
        <v>0</v>
      </c>
      <c r="BG19" s="533"/>
      <c r="BJ19" s="4">
        <f>IF('Исходные данные'!K28=2,('Исходные данные'!I28-24)/'Исходные данные'!AG28-8.7+55.48-((('Исходные данные'!I28-24)/'Исходные данные'!AG28-28)/2)-31.14,0)</f>
        <v>0</v>
      </c>
      <c r="BK19" s="284">
        <v>0</v>
      </c>
      <c r="BL19" s="284">
        <f t="shared" si="6"/>
        <v>0</v>
      </c>
      <c r="BM19" s="285">
        <f t="shared" si="0"/>
        <v>0</v>
      </c>
      <c r="BO19" s="355">
        <f>IF('Задание на ножницы'!J19&gt;0,('Исходные данные'!I28-24)/'Исходные данные'!AG28-8.7,0)</f>
        <v>0</v>
      </c>
      <c r="BP19" s="355">
        <f>IF('Задание на ножницы'!J19&gt;0,BO19+55.48,0)</f>
        <v>0</v>
      </c>
      <c r="BQ19" s="355">
        <f>IF(BP19&gt;0,BP19-((('Исходные данные'!I28-24)/'Исходные данные'!AG28-28)/2)-34.14,0)</f>
        <v>0</v>
      </c>
    </row>
    <row r="20" spans="1:69" ht="33" customHeight="1" thickBot="1">
      <c r="B20" s="605"/>
      <c r="C20" s="606"/>
      <c r="D20" s="607"/>
      <c r="E20" s="116">
        <f t="shared" si="7"/>
        <v>14</v>
      </c>
      <c r="F20" s="429">
        <f>'Задание на ТРУМПФ'!F20</f>
        <v>0</v>
      </c>
      <c r="G20" s="426" t="str">
        <f>'Задание на ТРУМПФ'!G20</f>
        <v>-х  -</v>
      </c>
      <c r="H20" s="471"/>
      <c r="I20" s="471" t="str">
        <f>IF('Исходные данные'!K29=1,"ВГ 199.01.00.001",IF('Исходные данные'!K29=2,"ВГ 199.01.00.008","---"))</f>
        <v>---</v>
      </c>
      <c r="J20" s="431">
        <f t="shared" si="1"/>
        <v>0</v>
      </c>
      <c r="K20" s="432">
        <f t="shared" si="2"/>
        <v>0</v>
      </c>
      <c r="L20" s="433"/>
      <c r="M20" s="433"/>
      <c r="N20" s="532">
        <f t="shared" si="3"/>
        <v>0</v>
      </c>
      <c r="O20" s="433">
        <f>IF(J20&gt;0,'Исходные данные'!AB29*2*'Исходные данные'!U29,0)</f>
        <v>0</v>
      </c>
      <c r="P20" s="266" t="e">
        <f>#REF!</f>
        <v>#REF!</v>
      </c>
      <c r="Q20" s="435">
        <f t="shared" si="4"/>
        <v>0</v>
      </c>
      <c r="R20" s="438">
        <f>IF('Задание на ТРУМПФ'!L20="ТЕКИ 07.239.01.00.011/012","ТЕКИ 07.277.03.00.101",IF('Задание на ТРУМПФ'!L20="ТЕКИ 07.269.01.00.001/002",0,IF('Задание на ТРУМПФ'!L20="ТЕКИ 07.239.01.00.001/002","ТЕКИ 07.239.02.00.016",0)))</f>
        <v>0</v>
      </c>
      <c r="T20">
        <f>IF('Исходные данные'!K29=1,нормы!F5*'Задание на ножницы'!O20*2,IF('Исходные данные'!K29=2,нормы!G5*'Задание на ножницы'!O20*2,0))</f>
        <v>0</v>
      </c>
      <c r="U20">
        <f>IF('Исходные данные'!K29=1,нормы!D5*'Задание на ножницы'!O20*2,IF('Исходные данные'!K29=2,нормы!E5*'Задание на ножницы'!O20*2,0))</f>
        <v>0</v>
      </c>
      <c r="Z20">
        <f>IF(J20&gt;0,нормы!E18*'Задание на ножницы'!#REF!,0)</f>
        <v>0</v>
      </c>
      <c r="AD20">
        <f>IF(J20&gt;0,нормы!C17*'Задание на ножницы'!#REF!,0)</f>
        <v>0</v>
      </c>
      <c r="AE20">
        <f>IF(J20&gt;0,нормы!B17*'Задание на ножницы'!#REF!,0)</f>
        <v>0</v>
      </c>
      <c r="AI20">
        <f>IF(J20&gt;0,нормы!C17*'Задание на ножницы'!#REF!,0)</f>
        <v>0</v>
      </c>
      <c r="AK20">
        <f>IF(J20&gt;0,нормы!B17*'Задание на ножницы'!#REF!,0)</f>
        <v>0</v>
      </c>
      <c r="AL20" s="235" t="e">
        <f>IF(#REF!="решетка жалюзийная",4+('Исходные данные'!J29/52),0)</f>
        <v>#REF!</v>
      </c>
      <c r="AM20" t="e">
        <f>IF(#REF!="решетка жалюзийная",IF('Исходные данные'!J29&lt;=1000,('Исходные данные'!J29/50),IF('Исходные данные'!J29&gt;1000,('Исходные данные'!J29/50)*2,0)),0)</f>
        <v>#REF!</v>
      </c>
      <c r="AN20" t="e">
        <f>IF(#REF!="решетка жалюзийная",нормы!E18+'Задание на ножницы'!AM20*нормы!B18,0)</f>
        <v>#REF!</v>
      </c>
      <c r="AO20" t="e">
        <f>AN20*#REF!</f>
        <v>#REF!</v>
      </c>
      <c r="AP20" t="e">
        <f>IF(#REF!="МРП",нормы!C18*'Задание на ножницы'!#REF!*4,IF(#REF!="МРЗ",нормы!C18*'Задание на ножницы'!#REF!*2,0))</f>
        <v>#REF!</v>
      </c>
      <c r="AU20" t="e">
        <f>IF(#REF!&gt;0,0.024*O20,0)</f>
        <v>#REF!</v>
      </c>
      <c r="AV20" t="e">
        <f>IF(#REF!&gt;0,0.012*O20,0)</f>
        <v>#REF!</v>
      </c>
      <c r="AW20" t="e">
        <f>IF(#REF!&gt;0,0.024*O21,0)</f>
        <v>#REF!</v>
      </c>
      <c r="AX20" t="e">
        <f>IF(#REF!&gt;0,0.012*O20,0)</f>
        <v>#REF!</v>
      </c>
      <c r="AZ20" s="527">
        <f>'Исходные данные'!AK29</f>
        <v>0</v>
      </c>
      <c r="BA20" s="331">
        <f>IF(AZ20=1,0,IF(AZ20=2,'Исходные данные'!I29/'Исходные данные'!AB29+28.6,IF(AZ20=3,('Исходные данные'!I29-24)/'Исходные данные'!AB29-8.7+55.48,0)))</f>
        <v>0</v>
      </c>
      <c r="BB20" s="331">
        <f>IF(AZ20=1,0,IF(AZ20=2,('Исходные данные'!J29-17)+48.6,IF(AZ20=3,('Исходные данные'!J29-32)+64.48,0)))</f>
        <v>0</v>
      </c>
      <c r="BC20" s="530">
        <f>IF(AZ20=1,0,IF(AZ20=2,('Исходные данные'!I29/'Исходные данные'!AB29-14)/2-13,0))</f>
        <v>0</v>
      </c>
      <c r="BD20" s="531">
        <f>IF(AZ20=1,0,IF(AZ20=2,BA20-BC20-24.3,IF(AZ20=3,BA20-((('Исходные данные'!I29-24)/'Исходные данные'!AB29-28)/2)-34.14,0)))</f>
        <v>0</v>
      </c>
      <c r="BE20" s="533"/>
      <c r="BF20" s="533">
        <f t="shared" si="5"/>
        <v>0</v>
      </c>
      <c r="BG20" s="533"/>
      <c r="BJ20" s="4">
        <f>IF('Исходные данные'!K29=2,('Исходные данные'!I29-24)/'Исходные данные'!AG29-8.7+55.48-((('Исходные данные'!I29-24)/'Исходные данные'!AG29-28)/2)-31.14,0)</f>
        <v>0</v>
      </c>
      <c r="BK20" s="284">
        <v>0</v>
      </c>
      <c r="BL20" s="284">
        <f t="shared" si="6"/>
        <v>0</v>
      </c>
      <c r="BM20" s="285">
        <f t="shared" si="0"/>
        <v>0</v>
      </c>
      <c r="BO20" s="355">
        <f>IF('Задание на ножницы'!J20&gt;0,('Исходные данные'!I29-24)/'Исходные данные'!AG29-8.7,0)</f>
        <v>0</v>
      </c>
      <c r="BP20" s="355">
        <f>IF('Задание на ножницы'!J20&gt;0,BO20+55.48,0)</f>
        <v>0</v>
      </c>
      <c r="BQ20" s="355">
        <f>IF(BP20&gt;0,BP20-((('Исходные данные'!I29-24)/'Исходные данные'!AG29-28)/2)-34.14,0)</f>
        <v>0</v>
      </c>
    </row>
    <row r="21" spans="1:69" ht="33" customHeight="1" thickBot="1">
      <c r="B21" s="605"/>
      <c r="C21" s="606"/>
      <c r="D21" s="607"/>
      <c r="E21" s="125">
        <f t="shared" si="7"/>
        <v>15</v>
      </c>
      <c r="F21" s="430">
        <f>'Задание на ТРУМПФ'!F21</f>
        <v>0</v>
      </c>
      <c r="G21" s="427" t="str">
        <f>'Задание на ТРУМПФ'!G21</f>
        <v>-х  -</v>
      </c>
      <c r="H21" s="267"/>
      <c r="I21" s="267" t="str">
        <f>IF('Исходные данные'!K30=1,"ВГ 199.01.00.001",IF('Исходные данные'!K30=2,"ВГ 199.01.00.008","---"))</f>
        <v>---</v>
      </c>
      <c r="J21" s="431">
        <f t="shared" si="1"/>
        <v>0</v>
      </c>
      <c r="K21" s="432">
        <f t="shared" si="2"/>
        <v>0</v>
      </c>
      <c r="L21" s="433"/>
      <c r="M21" s="433"/>
      <c r="N21" s="532">
        <f t="shared" si="3"/>
        <v>0</v>
      </c>
      <c r="O21" s="433">
        <f>IF(J21&gt;0,'Исходные данные'!AB30*2*'Исходные данные'!U30,0)</f>
        <v>0</v>
      </c>
      <c r="P21" s="268" t="e">
        <f>#REF!</f>
        <v>#REF!</v>
      </c>
      <c r="Q21" s="436">
        <f t="shared" si="4"/>
        <v>0</v>
      </c>
      <c r="R21" s="439">
        <f>IF('Задание на ТРУМПФ'!L21="ТЕКИ 07.239.01.00.011/012","ТЕКИ 07.277.03.00.101",IF('Задание на ТРУМПФ'!L21="ТЕКИ 07.269.01.00.001/002",0,IF('Задание на ТРУМПФ'!L21="ТЕКИ 07.239.01.00.001/002","ТЕКИ 07.239.02.00.016",0)))</f>
        <v>0</v>
      </c>
      <c r="T21">
        <f>IF('Исходные данные'!K30=1,нормы!F5*'Задание на ножницы'!O21*2,IF('Исходные данные'!K30=2,нормы!G5*'Задание на ножницы'!O21*2,0))</f>
        <v>0</v>
      </c>
      <c r="U21">
        <f>IF('Исходные данные'!K30=1,нормы!D5*'Задание на ножницы'!O21*2,IF('Исходные данные'!K30=2,нормы!E5*'Задание на ножницы'!O21*2,0))</f>
        <v>0</v>
      </c>
      <c r="Z21">
        <f>IF(J21&gt;0,нормы!E19*'Задание на ножницы'!#REF!,0)</f>
        <v>0</v>
      </c>
      <c r="AD21">
        <f>IF(J21&gt;0,нормы!C18*'Задание на ножницы'!#REF!,0)</f>
        <v>0</v>
      </c>
      <c r="AE21">
        <f>IF(J21&gt;0,нормы!B18*'Задание на ножницы'!#REF!,0)</f>
        <v>0</v>
      </c>
      <c r="AI21">
        <f>IF(J21&gt;0,нормы!C18*'Задание на ножницы'!#REF!,0)</f>
        <v>0</v>
      </c>
      <c r="AK21">
        <f>IF(J21&gt;0,нормы!B18*'Задание на ножницы'!#REF!,0)</f>
        <v>0</v>
      </c>
      <c r="AL21" s="235" t="e">
        <f>IF(#REF!="решетка жалюзийная",4+('Исходные данные'!J30/52),0)</f>
        <v>#REF!</v>
      </c>
      <c r="AM21" t="e">
        <f>IF(#REF!="решетка жалюзийная",IF('Исходные данные'!J30&lt;=1000,('Исходные данные'!J30/50),IF('Исходные данные'!J30&gt;1000,('Исходные данные'!J30/50)*2,0)),0)</f>
        <v>#REF!</v>
      </c>
      <c r="AN21" t="e">
        <f>IF(#REF!="решетка жалюзийная",нормы!E19+'Задание на ножницы'!AM21*нормы!B19,0)</f>
        <v>#REF!</v>
      </c>
      <c r="AO21" t="e">
        <f>AN21*#REF!</f>
        <v>#REF!</v>
      </c>
      <c r="AP21" t="e">
        <f>IF(#REF!="МРП",нормы!C19*'Задание на ножницы'!#REF!*4,IF(#REF!="МРЗ",нормы!C19*'Задание на ножницы'!#REF!*2,0))</f>
        <v>#REF!</v>
      </c>
      <c r="AU21" s="182" t="e">
        <f>IF(#REF!&gt;0,0.024*O21,0)</f>
        <v>#REF!</v>
      </c>
      <c r="AV21" s="182" t="e">
        <f>IF(#REF!&gt;0,0.012*O21,0)</f>
        <v>#REF!</v>
      </c>
      <c r="AW21" s="182" t="e">
        <f>IF(#REF!&gt;0,0.024*O22,0)</f>
        <v>#REF!</v>
      </c>
      <c r="AX21" s="182" t="e">
        <f>IF(#REF!&gt;0,0.012*O21,0)</f>
        <v>#REF!</v>
      </c>
      <c r="AZ21" s="527">
        <f>'Исходные данные'!AK30</f>
        <v>0</v>
      </c>
      <c r="BA21" s="331">
        <f>IF(AZ21=1,0,IF(AZ21=2,'Исходные данные'!I30/'Исходные данные'!AB30+28.6,IF(AZ21=3,('Исходные данные'!I30-24)/'Исходные данные'!AB30-8.7+55.48,0)))</f>
        <v>0</v>
      </c>
      <c r="BB21" s="331">
        <f>IF(AZ21=1,0,IF(AZ21=2,('Исходные данные'!J30-17)+48.6,IF(AZ21=3,('Исходные данные'!J30-32)+64.48,0)))</f>
        <v>0</v>
      </c>
      <c r="BC21" s="530">
        <f>IF(AZ21=1,0,IF(AZ21=2,('Исходные данные'!I30/'Исходные данные'!AB30-14)/2-13,0))</f>
        <v>0</v>
      </c>
      <c r="BD21" s="531">
        <f>IF(AZ21=1,0,IF(AZ21=2,BA21-BC21-24.3,IF(AZ21=3,BA21-((('Исходные данные'!I30-24)/'Исходные данные'!AB30-28)/2)-34.14,0)))</f>
        <v>0</v>
      </c>
      <c r="BE21" s="533"/>
      <c r="BF21" s="533">
        <f t="shared" si="5"/>
        <v>0</v>
      </c>
      <c r="BG21" s="533"/>
      <c r="BJ21" s="126">
        <f>IF('Исходные данные'!K30=2,('Исходные данные'!I30-24)/'Исходные данные'!AG30-8.7+55.48-((('Исходные данные'!I30-24)/'Исходные данные'!AG30-28)/2)-31.14,0)</f>
        <v>0</v>
      </c>
      <c r="BK21" s="284">
        <v>0</v>
      </c>
      <c r="BL21" s="284">
        <f t="shared" si="6"/>
        <v>0</v>
      </c>
      <c r="BM21" s="285">
        <f t="shared" si="0"/>
        <v>0</v>
      </c>
      <c r="BO21" s="355">
        <f>IF('Задание на ножницы'!J21&gt;0,('Исходные данные'!I30-24)/'Исходные данные'!AG30-8.7,0)</f>
        <v>0</v>
      </c>
      <c r="BP21" s="355">
        <f>IF('Задание на ножницы'!J21&gt;0,BO21+55.48,0)</f>
        <v>0</v>
      </c>
      <c r="BQ21" s="355">
        <f>IF(BP21&gt;0,BP21-((('Исходные данные'!I30-24)/'Исходные данные'!AG30-28)/2)-34.14,0)</f>
        <v>0</v>
      </c>
    </row>
    <row r="22" spans="1:69" ht="21.75" hidden="1" thickBot="1">
      <c r="B22" s="605"/>
      <c r="C22" s="606"/>
      <c r="D22" s="607"/>
      <c r="E22" s="253">
        <f t="shared" si="7"/>
        <v>16</v>
      </c>
      <c r="F22" s="174"/>
      <c r="G22" s="259">
        <f>'Задание на ТРУМПФ'!G22</f>
        <v>0</v>
      </c>
      <c r="H22" s="174"/>
      <c r="I22" s="174"/>
      <c r="J22" s="117"/>
      <c r="K22" s="176" t="e">
        <f>IF('Исходные данные'!#REF!=2,'Исходные данные'!#REF!-32+64.48,0)</f>
        <v>#REF!</v>
      </c>
      <c r="L22" s="118"/>
      <c r="M22" s="118"/>
      <c r="N22" s="118"/>
      <c r="O22" s="433">
        <f>IF(J22&gt;0,'Исходные данные'!AB31*2*'Исходные данные'!U31,0)</f>
        <v>0</v>
      </c>
      <c r="P22" s="118"/>
      <c r="Q22" s="279">
        <f t="shared" si="4"/>
        <v>0</v>
      </c>
      <c r="AW22" t="e">
        <f>IF(#REF!&gt;0,0.024*O23,0)</f>
        <v>#REF!</v>
      </c>
      <c r="BF22" s="533">
        <f t="shared" ref="BF22:BF27" si="8">IF(BD22&lt;=200,0.064,IF(BD22&gt;200,0.081,0))</f>
        <v>6.4000000000000001E-2</v>
      </c>
      <c r="BK22" s="284">
        <v>0</v>
      </c>
      <c r="BM22" s="174">
        <f t="shared" ref="BM22:BM27" si="9">O22*BL22</f>
        <v>0</v>
      </c>
      <c r="BO22" s="355" t="e">
        <f>('Исходные данные'!#REF!-24)/'Исходные данные'!#REF!-8.7</f>
        <v>#REF!</v>
      </c>
    </row>
    <row r="23" spans="1:69" ht="21.75" hidden="1" thickBot="1">
      <c r="B23" s="605"/>
      <c r="C23" s="606"/>
      <c r="D23" s="607"/>
      <c r="E23" s="116">
        <f t="shared" si="7"/>
        <v>17</v>
      </c>
      <c r="F23" s="4"/>
      <c r="G23" s="259">
        <f>'Задание на ТРУМПФ'!G23</f>
        <v>0</v>
      </c>
      <c r="H23" s="4"/>
      <c r="I23" s="4"/>
      <c r="J23" s="122"/>
      <c r="K23" s="176">
        <f>IF('Исходные данные'!K31=2,'Исходные данные'!J31-32+64.48,0)</f>
        <v>0</v>
      </c>
      <c r="L23" s="118"/>
      <c r="M23" s="118"/>
      <c r="N23" s="118"/>
      <c r="O23" s="433">
        <f>IF(J23&gt;0,'Исходные данные'!AB32*2*'Исходные данные'!U32,0)</f>
        <v>0</v>
      </c>
      <c r="P23" s="118"/>
      <c r="Q23" s="279">
        <f t="shared" si="4"/>
        <v>0</v>
      </c>
      <c r="AW23" t="e">
        <f>IF(#REF!&gt;0,0.024*O24,0)</f>
        <v>#REF!</v>
      </c>
      <c r="BF23" s="533">
        <f t="shared" si="8"/>
        <v>6.4000000000000001E-2</v>
      </c>
      <c r="BK23" s="284">
        <v>0</v>
      </c>
      <c r="BM23" s="4">
        <f t="shared" si="9"/>
        <v>0</v>
      </c>
      <c r="BO23" s="355" t="e">
        <f>('Исходные данные'!I31-24)/'Исходные данные'!AG31-8.7</f>
        <v>#DIV/0!</v>
      </c>
    </row>
    <row r="24" spans="1:69" ht="21.75" hidden="1" thickBot="1">
      <c r="B24" s="605"/>
      <c r="C24" s="606"/>
      <c r="D24" s="607"/>
      <c r="E24" s="116">
        <f t="shared" si="7"/>
        <v>18</v>
      </c>
      <c r="F24" s="4"/>
      <c r="G24" s="259">
        <f>'Задание на ТРУМПФ'!G24</f>
        <v>0</v>
      </c>
      <c r="H24" s="4"/>
      <c r="I24" s="4"/>
      <c r="J24" s="122"/>
      <c r="K24" s="176">
        <f>IF('Исходные данные'!K32=2,'Исходные данные'!J32-32+64.48,0)</f>
        <v>0</v>
      </c>
      <c r="L24" s="118"/>
      <c r="M24" s="118"/>
      <c r="N24" s="118"/>
      <c r="O24" s="433">
        <f>IF(J24&gt;0,'Исходные данные'!AB33*2*'Исходные данные'!U33,0)</f>
        <v>0</v>
      </c>
      <c r="P24" s="118"/>
      <c r="Q24" s="279">
        <f t="shared" si="4"/>
        <v>0</v>
      </c>
      <c r="AW24" t="e">
        <f>IF(#REF!&gt;0,0.024*O25,0)</f>
        <v>#REF!</v>
      </c>
      <c r="BF24" s="533">
        <f t="shared" si="8"/>
        <v>6.4000000000000001E-2</v>
      </c>
      <c r="BK24" s="284">
        <v>0</v>
      </c>
      <c r="BM24" s="4">
        <f t="shared" si="9"/>
        <v>0</v>
      </c>
      <c r="BO24" s="355" t="e">
        <f>('Исходные данные'!I32-24)/'Исходные данные'!AG32-8.7</f>
        <v>#DIV/0!</v>
      </c>
    </row>
    <row r="25" spans="1:69" ht="21.75" hidden="1" thickBot="1">
      <c r="B25" s="605"/>
      <c r="C25" s="606"/>
      <c r="D25" s="607"/>
      <c r="E25" s="116">
        <f>E24+1</f>
        <v>19</v>
      </c>
      <c r="F25" s="4"/>
      <c r="G25" s="259">
        <f>'Задание на ТРУМПФ'!G25</f>
        <v>0</v>
      </c>
      <c r="H25" s="4"/>
      <c r="I25" s="4"/>
      <c r="J25" s="122"/>
      <c r="K25" s="176">
        <f>IF('Исходные данные'!K33=2,'Исходные данные'!J33-32+64.48,0)</f>
        <v>0</v>
      </c>
      <c r="L25" s="118"/>
      <c r="M25" s="118"/>
      <c r="N25" s="118"/>
      <c r="O25" s="433">
        <f>IF(J25&gt;0,'Исходные данные'!AB34*2*'Исходные данные'!U34,0)</f>
        <v>0</v>
      </c>
      <c r="P25" s="118"/>
      <c r="Q25" s="279">
        <f t="shared" si="4"/>
        <v>0</v>
      </c>
      <c r="AW25" t="e">
        <f>IF(#REF!&gt;0,0.024*O26,0)</f>
        <v>#REF!</v>
      </c>
      <c r="BF25" s="533">
        <f t="shared" si="8"/>
        <v>6.4000000000000001E-2</v>
      </c>
      <c r="BK25" s="284">
        <v>0</v>
      </c>
      <c r="BM25" s="4">
        <f t="shared" si="9"/>
        <v>0</v>
      </c>
      <c r="BO25" s="355" t="e">
        <f>('Исходные данные'!I33-24)/'Исходные данные'!AG33-8.7</f>
        <v>#DIV/0!</v>
      </c>
    </row>
    <row r="26" spans="1:69" ht="21.75" hidden="1" thickBot="1">
      <c r="A26" s="604" t="str">
        <f>E2</f>
        <v>Участок Fasti</v>
      </c>
      <c r="B26" s="605"/>
      <c r="C26" s="606"/>
      <c r="D26" s="607"/>
      <c r="E26" s="116">
        <f>E25+1</f>
        <v>20</v>
      </c>
      <c r="F26" s="4"/>
      <c r="G26" s="259">
        <f>'Задание на ТРУМПФ'!G26</f>
        <v>0</v>
      </c>
      <c r="H26" s="4"/>
      <c r="I26" s="4"/>
      <c r="J26" s="122"/>
      <c r="K26" s="176">
        <f>IF('Исходные данные'!K34=2,'Исходные данные'!J34-32+64.48,0)</f>
        <v>0</v>
      </c>
      <c r="L26" s="118"/>
      <c r="M26" s="118"/>
      <c r="N26" s="118"/>
      <c r="O26" s="433">
        <f>IF(J26&gt;0,'Исходные данные'!AB35*2*'Исходные данные'!U35,0)</f>
        <v>0</v>
      </c>
      <c r="P26" s="118"/>
      <c r="Q26" s="279">
        <f t="shared" si="4"/>
        <v>0</v>
      </c>
      <c r="AW26" t="e">
        <f>IF(#REF!&gt;0,0.024*O27,0)</f>
        <v>#REF!</v>
      </c>
      <c r="BF26" s="533">
        <f t="shared" si="8"/>
        <v>6.4000000000000001E-2</v>
      </c>
      <c r="BK26" s="284">
        <v>0</v>
      </c>
      <c r="BM26" s="4">
        <f t="shared" si="9"/>
        <v>0</v>
      </c>
      <c r="BO26" s="355" t="e">
        <f>('Исходные данные'!I34-24)/'Исходные данные'!AG34-8.7</f>
        <v>#DIV/0!</v>
      </c>
    </row>
    <row r="27" spans="1:69" ht="21.75" hidden="1" thickBot="1">
      <c r="A27" s="604"/>
      <c r="B27" s="605"/>
      <c r="C27" s="606"/>
      <c r="D27" s="607"/>
      <c r="E27" s="125">
        <f>E26+1</f>
        <v>21</v>
      </c>
      <c r="F27" s="126"/>
      <c r="G27" s="259">
        <f>'Задание на ТРУМПФ'!G27</f>
        <v>0</v>
      </c>
      <c r="H27" s="126"/>
      <c r="I27" s="126"/>
      <c r="J27" s="127"/>
      <c r="K27" s="176">
        <f>IF('Исходные данные'!K35=2,'Исходные данные'!J35-32+64.48,0)</f>
        <v>0</v>
      </c>
      <c r="L27" s="128"/>
      <c r="M27" s="118"/>
      <c r="N27" s="128"/>
      <c r="O27" s="433">
        <f>IF(J27&gt;0,'Исходные данные'!AB36*2*'Исходные данные'!U36,0)</f>
        <v>0</v>
      </c>
      <c r="P27" s="118"/>
      <c r="Q27" s="279">
        <f t="shared" si="4"/>
        <v>0</v>
      </c>
      <c r="AW27" t="e">
        <f>IF(#REF!&gt;0,0.024*O28,0)</f>
        <v>#REF!</v>
      </c>
      <c r="BF27" s="533">
        <f t="shared" si="8"/>
        <v>6.4000000000000001E-2</v>
      </c>
      <c r="BK27" s="284">
        <v>0</v>
      </c>
      <c r="BM27" s="327">
        <f t="shared" si="9"/>
        <v>0</v>
      </c>
      <c r="BO27" s="355" t="e">
        <f>('Исходные данные'!I35-24)/'Исходные данные'!AG35-8.7</f>
        <v>#DIV/0!</v>
      </c>
    </row>
    <row r="28" spans="1:69" ht="15.75" thickBot="1">
      <c r="A28" s="604"/>
      <c r="B28" s="605"/>
      <c r="C28" s="606"/>
      <c r="D28" s="607"/>
      <c r="T28">
        <f>SUM(T7:T27)</f>
        <v>0</v>
      </c>
      <c r="U28">
        <f>SUM(U7:U27)</f>
        <v>0</v>
      </c>
      <c r="Z28">
        <f>SUM(Z7:Z27)</f>
        <v>0</v>
      </c>
      <c r="AD28">
        <f>SUM(AD7:AD27)</f>
        <v>0</v>
      </c>
      <c r="AE28">
        <f>SUM(AE7:AE27)</f>
        <v>0</v>
      </c>
      <c r="AI28">
        <f>SUM(AI7:AI27)</f>
        <v>0</v>
      </c>
      <c r="AK28">
        <f>SUM(AK7:AK27)</f>
        <v>0</v>
      </c>
      <c r="AO28" t="e">
        <f>SUM(AO7:AO27)</f>
        <v>#REF!</v>
      </c>
      <c r="AP28" t="e">
        <f>SUM(AP7:AP27)</f>
        <v>#REF!</v>
      </c>
      <c r="AU28" t="e">
        <f>SUM(AU7:AU21)</f>
        <v>#REF!</v>
      </c>
      <c r="AV28" t="e">
        <f>SUM(AV7:AV21)</f>
        <v>#REF!</v>
      </c>
      <c r="AW28" t="e">
        <f>SUM(AW7:AW21)</f>
        <v>#REF!</v>
      </c>
      <c r="AX28" t="e">
        <f>SUM(AX7:AX21,)</f>
        <v>#REF!</v>
      </c>
      <c r="BM28" s="328">
        <f>SUM(BM7:BM21)</f>
        <v>0</v>
      </c>
    </row>
    <row r="29" spans="1:69">
      <c r="A29" s="604"/>
      <c r="B29" s="605"/>
      <c r="C29" s="606"/>
      <c r="D29" s="607"/>
      <c r="E29" s="626"/>
      <c r="F29" s="626"/>
      <c r="G29" s="626"/>
      <c r="H29" s="626"/>
      <c r="I29" s="626"/>
      <c r="J29" s="626"/>
      <c r="K29" s="626"/>
      <c r="L29" s="626"/>
      <c r="M29" s="626"/>
      <c r="N29" s="626"/>
      <c r="O29" s="626"/>
      <c r="P29" s="626"/>
    </row>
    <row r="30" spans="1:69" ht="15.75">
      <c r="A30" s="604"/>
      <c r="B30" s="605"/>
      <c r="C30" s="606"/>
      <c r="D30" s="607"/>
      <c r="E30" s="666"/>
      <c r="F30" s="666"/>
      <c r="G30" s="666"/>
      <c r="H30" s="666"/>
      <c r="I30" s="666"/>
      <c r="J30" s="666"/>
      <c r="K30" s="666"/>
      <c r="L30" s="666"/>
      <c r="M30" s="666"/>
      <c r="N30" s="666"/>
      <c r="O30" s="666"/>
      <c r="P30" s="666"/>
    </row>
    <row r="31" spans="1:69" ht="28.5">
      <c r="A31" s="604"/>
      <c r="B31" s="605"/>
      <c r="C31" s="606"/>
      <c r="D31" s="607"/>
      <c r="E31" s="664"/>
      <c r="F31" s="664"/>
      <c r="G31" s="664"/>
      <c r="H31" s="664"/>
      <c r="I31" s="664"/>
      <c r="J31" s="664"/>
      <c r="K31" s="664"/>
      <c r="L31" s="664"/>
      <c r="M31" s="664"/>
      <c r="N31" s="664"/>
      <c r="O31" s="664"/>
      <c r="P31" s="664"/>
    </row>
    <row r="32" spans="1:69" ht="28.5">
      <c r="A32" s="604"/>
      <c r="B32" s="605"/>
      <c r="C32" s="606"/>
      <c r="D32" s="607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4"/>
      <c r="P32" s="664"/>
    </row>
    <row r="33" spans="1:16">
      <c r="A33" s="604"/>
      <c r="B33" s="605"/>
      <c r="C33" s="606"/>
      <c r="D33" s="60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ht="21">
      <c r="A34" s="604"/>
      <c r="B34" s="605"/>
      <c r="C34" s="606"/>
      <c r="D34" s="607"/>
      <c r="E34" s="10"/>
      <c r="F34" s="10"/>
      <c r="G34" s="5"/>
      <c r="H34" s="5"/>
      <c r="I34" s="5"/>
      <c r="J34" s="263"/>
      <c r="K34" s="161"/>
      <c r="L34" s="161"/>
      <c r="M34" s="5"/>
      <c r="N34" s="5"/>
      <c r="O34" s="5"/>
    </row>
    <row r="35" spans="1:16">
      <c r="A35" s="604"/>
      <c r="B35" s="605"/>
      <c r="C35" s="606"/>
      <c r="D35" s="607"/>
      <c r="E35" s="10"/>
      <c r="F35" s="10"/>
      <c r="G35" s="10"/>
      <c r="H35" s="10"/>
      <c r="I35" s="10"/>
      <c r="M35" s="10"/>
      <c r="N35" s="10"/>
      <c r="O35" s="10"/>
    </row>
    <row r="36" spans="1:16" ht="21">
      <c r="A36" s="604"/>
      <c r="B36" s="605"/>
      <c r="C36" s="606"/>
      <c r="D36" s="607"/>
      <c r="E36" s="10"/>
      <c r="F36" s="10" t="s">
        <v>276</v>
      </c>
      <c r="G36" s="10"/>
      <c r="H36" s="10"/>
      <c r="I36" s="10"/>
      <c r="J36" s="262">
        <f>BM28</f>
        <v>0</v>
      </c>
      <c r="M36" s="10"/>
      <c r="N36" s="10"/>
      <c r="O36" s="10"/>
    </row>
    <row r="37" spans="1:16">
      <c r="A37" s="604"/>
      <c r="B37" s="605"/>
      <c r="C37" s="606"/>
      <c r="D37" s="607"/>
      <c r="E37" s="10"/>
      <c r="F37" s="10"/>
      <c r="G37" s="10"/>
      <c r="H37" s="10"/>
      <c r="I37" s="10"/>
      <c r="M37" s="10"/>
      <c r="N37" s="10"/>
      <c r="O37" s="10"/>
    </row>
    <row r="38" spans="1:16" ht="22.5">
      <c r="A38" s="604"/>
      <c r="B38" s="605"/>
      <c r="C38" s="606"/>
      <c r="D38" s="607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</row>
    <row r="39" spans="1:16" ht="22.5">
      <c r="A39" s="604"/>
      <c r="B39" s="605"/>
      <c r="C39" s="606"/>
      <c r="D39" s="607"/>
      <c r="F39" s="138"/>
      <c r="G39" s="138" t="s">
        <v>175</v>
      </c>
      <c r="H39" s="139"/>
      <c r="I39" s="139"/>
      <c r="J39" s="139"/>
      <c r="K39" s="139"/>
      <c r="L39" s="139"/>
      <c r="M39" s="139"/>
      <c r="N39" s="139"/>
      <c r="O39" s="139"/>
      <c r="P39" s="139"/>
    </row>
    <row r="40" spans="1:16" ht="22.5">
      <c r="E40" s="10"/>
      <c r="F40" s="138"/>
      <c r="G40" s="138"/>
      <c r="H40" s="139"/>
      <c r="I40" s="139"/>
      <c r="J40" s="139"/>
      <c r="K40" s="139"/>
      <c r="L40" s="139"/>
      <c r="M40" s="139"/>
      <c r="N40" s="139"/>
      <c r="O40" s="139"/>
      <c r="P40" s="139"/>
    </row>
    <row r="41" spans="1:16" ht="22.5">
      <c r="E41" s="10"/>
      <c r="F41" s="138"/>
      <c r="G41" s="138" t="s">
        <v>176</v>
      </c>
      <c r="H41" s="138"/>
      <c r="I41" s="138"/>
      <c r="J41" s="138"/>
      <c r="K41" s="138"/>
      <c r="L41" s="138" t="s">
        <v>165</v>
      </c>
      <c r="M41" s="138"/>
      <c r="N41" s="138"/>
      <c r="O41" s="138"/>
      <c r="P41" s="138"/>
    </row>
    <row r="42" spans="1:16" ht="22.5">
      <c r="E42" s="10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</row>
    <row r="43" spans="1:16" ht="22.5">
      <c r="E43" s="10"/>
      <c r="F43" s="138"/>
      <c r="G43" s="138"/>
      <c r="H43" s="139"/>
      <c r="I43" s="139"/>
      <c r="J43" s="139"/>
      <c r="K43" s="139"/>
      <c r="L43" s="139"/>
      <c r="M43" s="138"/>
      <c r="N43" s="138"/>
      <c r="O43" s="138"/>
      <c r="P43" s="138"/>
    </row>
    <row r="44" spans="1:16" ht="36">
      <c r="D44" s="135"/>
      <c r="E44" s="10"/>
      <c r="F44" s="10" t="str">
        <f>CONCATENATE(B9,"----",A26)</f>
        <v>СОПРОВОДИТЕЛЬНЫЙ ЛИСТ №  ----Участок Fasti</v>
      </c>
      <c r="H44" s="10"/>
      <c r="I44" s="10"/>
      <c r="J44" s="136"/>
      <c r="K44" s="136"/>
      <c r="L44" s="136"/>
      <c r="M44" s="136"/>
      <c r="N44" s="136"/>
      <c r="O44" s="10"/>
      <c r="P44" s="10"/>
    </row>
    <row r="45" spans="1:16" ht="22.5">
      <c r="C45" s="138"/>
      <c r="D45" s="138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</row>
    <row r="46" spans="1:16" ht="22.5">
      <c r="C46" s="138"/>
      <c r="D46" s="138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1:16" ht="22.5">
      <c r="C47" s="138"/>
      <c r="D47" s="138" t="s">
        <v>164</v>
      </c>
      <c r="E47" s="138"/>
      <c r="F47" s="138"/>
      <c r="G47" s="138"/>
      <c r="H47" s="138" t="s">
        <v>165</v>
      </c>
      <c r="I47" s="138"/>
      <c r="J47" s="138"/>
      <c r="K47" s="138"/>
      <c r="L47" s="138"/>
      <c r="M47" s="138"/>
      <c r="N47" s="138"/>
      <c r="O47" s="138"/>
      <c r="P47" s="138"/>
    </row>
    <row r="48" spans="1:16" ht="22.5"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</row>
  </sheetData>
  <mergeCells count="29">
    <mergeCell ref="AZ5:AZ6"/>
    <mergeCell ref="BA5:BA6"/>
    <mergeCell ref="A26:A39"/>
    <mergeCell ref="E29:P29"/>
    <mergeCell ref="E32:P32"/>
    <mergeCell ref="Q5:Q6"/>
    <mergeCell ref="B9:B39"/>
    <mergeCell ref="C17:C39"/>
    <mergeCell ref="D17:D39"/>
    <mergeCell ref="J5:K5"/>
    <mergeCell ref="N5:N6"/>
    <mergeCell ref="AW5:AX5"/>
    <mergeCell ref="AC5:AD5"/>
    <mergeCell ref="AE5:AF5"/>
    <mergeCell ref="AG5:AI5"/>
    <mergeCell ref="AJ5:AK5"/>
    <mergeCell ref="AL5:AN5"/>
    <mergeCell ref="AP5:AT5"/>
    <mergeCell ref="B3:C8"/>
    <mergeCell ref="E31:P31"/>
    <mergeCell ref="AU5:AV5"/>
    <mergeCell ref="E30:P30"/>
    <mergeCell ref="F4:P4"/>
    <mergeCell ref="R5:R6"/>
    <mergeCell ref="BB5:BB6"/>
    <mergeCell ref="BD5:BD6"/>
    <mergeCell ref="BC5:BC6"/>
    <mergeCell ref="BF5:BF6"/>
    <mergeCell ref="BO5:BQ5"/>
  </mergeCells>
  <pageMargins left="0" right="0" top="0" bottom="0" header="0.31496062992125984" footer="0.31496062992125984"/>
  <pageSetup paperSize="9" scale="4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43"/>
  <sheetViews>
    <sheetView view="pageBreakPreview" zoomScale="53" zoomScaleNormal="60" zoomScaleSheetLayoutView="53" workbookViewId="0">
      <selection activeCell="AY16" sqref="AY16"/>
    </sheetView>
  </sheetViews>
  <sheetFormatPr defaultRowHeight="15"/>
  <cols>
    <col min="2" max="2" width="6.5703125" customWidth="1"/>
    <col min="4" max="4" width="28.85546875" customWidth="1"/>
    <col min="5" max="7" width="9.140625" hidden="1" customWidth="1"/>
    <col min="8" max="8" width="16.28515625" customWidth="1"/>
    <col min="9" max="10" width="0" hidden="1" customWidth="1"/>
    <col min="11" max="11" width="8.5703125" customWidth="1"/>
    <col min="12" max="12" width="10.5703125" customWidth="1"/>
    <col min="13" max="13" width="12" customWidth="1"/>
    <col min="14" max="14" width="14.7109375" customWidth="1"/>
    <col min="15" max="15" width="0" hidden="1" customWidth="1"/>
    <col min="16" max="16" width="17.42578125" customWidth="1"/>
    <col min="17" max="17" width="14.7109375" customWidth="1"/>
    <col min="18" max="18" width="9.140625" hidden="1" customWidth="1"/>
    <col min="19" max="19" width="19.85546875" customWidth="1"/>
    <col min="20" max="20" width="11.28515625" hidden="1" customWidth="1"/>
    <col min="22" max="22" width="13.7109375" customWidth="1"/>
    <col min="23" max="23" width="14.7109375" customWidth="1"/>
    <col min="25" max="25" width="12.7109375" customWidth="1"/>
    <col min="26" max="26" width="17.28515625" customWidth="1"/>
    <col min="27" max="27" width="14.7109375" customWidth="1"/>
    <col min="28" max="28" width="16.85546875" customWidth="1"/>
    <col min="29" max="29" width="5.7109375" customWidth="1"/>
    <col min="30" max="30" width="11.7109375" customWidth="1"/>
    <col min="31" max="31" width="19" customWidth="1"/>
    <col min="33" max="33" width="16.28515625" customWidth="1"/>
    <col min="34" max="34" width="10.5703125" customWidth="1"/>
    <col min="35" max="35" width="15.140625" customWidth="1"/>
    <col min="37" max="37" width="10.85546875" customWidth="1"/>
    <col min="40" max="40" width="9.140625" customWidth="1"/>
    <col min="41" max="43" width="0" hidden="1" customWidth="1"/>
    <col min="44" max="44" width="15.140625" hidden="1" customWidth="1"/>
    <col min="46" max="47" width="0" hidden="1" customWidth="1"/>
  </cols>
  <sheetData>
    <row r="1" spans="1:37">
      <c r="B1" t="s">
        <v>49</v>
      </c>
      <c r="P1" t="s">
        <v>290</v>
      </c>
    </row>
    <row r="2" spans="1:37" ht="20.25" customHeight="1">
      <c r="B2" s="33"/>
      <c r="C2" s="107"/>
      <c r="D2" s="108"/>
      <c r="E2" s="108"/>
      <c r="F2" s="108"/>
      <c r="G2" s="108"/>
      <c r="H2" s="109"/>
      <c r="S2" s="181"/>
      <c r="T2" s="109"/>
      <c r="U2" s="109"/>
      <c r="V2" s="109"/>
      <c r="W2" s="109"/>
    </row>
    <row r="3" spans="1:37" ht="45" customHeight="1">
      <c r="C3" s="183" t="s">
        <v>187</v>
      </c>
      <c r="D3" s="110"/>
      <c r="E3" s="110"/>
      <c r="F3" s="110"/>
      <c r="G3" s="110"/>
      <c r="H3" s="109"/>
      <c r="L3" s="181"/>
      <c r="P3" s="278">
        <f>'Исходные данные'!J12</f>
        <v>4444</v>
      </c>
    </row>
    <row r="4" spans="1:37" ht="27.75" customHeight="1" thickBot="1">
      <c r="B4" s="10"/>
      <c r="C4" s="10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</row>
    <row r="5" spans="1:37" ht="78" customHeight="1">
      <c r="A5" s="111"/>
      <c r="B5" s="379" t="s">
        <v>148</v>
      </c>
      <c r="C5" s="381" t="s">
        <v>149</v>
      </c>
      <c r="D5" s="381" t="s">
        <v>150</v>
      </c>
      <c r="E5" s="269" t="s">
        <v>151</v>
      </c>
      <c r="F5" s="269"/>
      <c r="G5" s="269"/>
      <c r="H5" s="383" t="s">
        <v>260</v>
      </c>
      <c r="I5" s="383"/>
      <c r="J5" s="383" t="s">
        <v>152</v>
      </c>
      <c r="K5" s="619" t="s">
        <v>289</v>
      </c>
      <c r="L5" s="622" t="s">
        <v>153</v>
      </c>
      <c r="M5" s="619" t="s">
        <v>170</v>
      </c>
      <c r="N5" s="619"/>
      <c r="O5" s="383" t="s">
        <v>153</v>
      </c>
      <c r="P5" s="622" t="s">
        <v>153</v>
      </c>
      <c r="Q5" s="619" t="s">
        <v>329</v>
      </c>
      <c r="R5" s="383"/>
      <c r="S5" s="742" t="s">
        <v>310</v>
      </c>
      <c r="T5" s="742"/>
      <c r="U5" s="742"/>
      <c r="V5" s="622" t="s">
        <v>153</v>
      </c>
      <c r="W5" s="619" t="s">
        <v>280</v>
      </c>
      <c r="X5" s="619"/>
      <c r="Y5" s="622" t="s">
        <v>153</v>
      </c>
      <c r="Z5" s="743" t="s">
        <v>265</v>
      </c>
      <c r="AA5" s="743"/>
      <c r="AB5" s="739" t="s">
        <v>311</v>
      </c>
      <c r="AC5" s="598" t="s">
        <v>294</v>
      </c>
      <c r="AD5" s="622" t="s">
        <v>153</v>
      </c>
      <c r="AE5" s="739" t="s">
        <v>295</v>
      </c>
      <c r="AF5" s="598" t="s">
        <v>294</v>
      </c>
      <c r="AG5" s="598" t="s">
        <v>303</v>
      </c>
      <c r="AH5" s="598" t="s">
        <v>2</v>
      </c>
      <c r="AI5" s="598" t="s">
        <v>297</v>
      </c>
      <c r="AJ5" s="737" t="s">
        <v>2</v>
      </c>
      <c r="AK5" s="736">
        <f>'Исходные данные'!J12</f>
        <v>4444</v>
      </c>
    </row>
    <row r="6" spans="1:37" ht="40.5" customHeight="1" thickBot="1">
      <c r="A6" s="111"/>
      <c r="B6" s="380"/>
      <c r="C6" s="382"/>
      <c r="D6" s="382"/>
      <c r="E6" s="270"/>
      <c r="F6" s="270"/>
      <c r="G6" s="270"/>
      <c r="H6" s="384" t="s">
        <v>288</v>
      </c>
      <c r="I6" s="384"/>
      <c r="J6" s="384"/>
      <c r="K6" s="620"/>
      <c r="L6" s="623"/>
      <c r="M6" s="384" t="s">
        <v>155</v>
      </c>
      <c r="N6" s="384" t="s">
        <v>156</v>
      </c>
      <c r="O6" s="384"/>
      <c r="P6" s="623"/>
      <c r="Q6" s="620"/>
      <c r="R6" s="387"/>
      <c r="S6" s="387" t="s">
        <v>23</v>
      </c>
      <c r="T6" s="387" t="s">
        <v>172</v>
      </c>
      <c r="U6" s="387" t="s">
        <v>169</v>
      </c>
      <c r="V6" s="623"/>
      <c r="W6" s="387" t="s">
        <v>23</v>
      </c>
      <c r="X6" s="387" t="s">
        <v>169</v>
      </c>
      <c r="Y6" s="623"/>
      <c r="Z6" s="387" t="s">
        <v>23</v>
      </c>
      <c r="AA6" s="387" t="s">
        <v>169</v>
      </c>
      <c r="AB6" s="740"/>
      <c r="AC6" s="599"/>
      <c r="AD6" s="623"/>
      <c r="AE6" s="740"/>
      <c r="AF6" s="599"/>
      <c r="AG6" s="599"/>
      <c r="AH6" s="599"/>
      <c r="AI6" s="599"/>
      <c r="AJ6" s="738"/>
      <c r="AK6" s="736"/>
    </row>
    <row r="7" spans="1:37" ht="40.5" customHeight="1" thickBot="1">
      <c r="B7" s="443">
        <v>1</v>
      </c>
      <c r="C7" s="440">
        <f>'Задание на ТРУМПФ'!F7</f>
        <v>0</v>
      </c>
      <c r="D7" s="470" t="str">
        <f>'Задание на ТРУМПФ'!G7</f>
        <v>-х  -</v>
      </c>
      <c r="E7" s="324"/>
      <c r="F7" s="324" t="str">
        <f>IF('Исходные данные'!K16=1,"ВГ 199.01.00.001",IF('Исходные данные'!K16=2,"ВГ 199.01.00.008","---"))</f>
        <v>---</v>
      </c>
      <c r="G7" s="324" t="str">
        <f>IF('Исходные данные'!K16=1,"ВГ 199.01.00.002",IF('Исходные данные'!K16=2,"ВГ 199.01.00.007","---"))</f>
        <v>---</v>
      </c>
      <c r="H7" s="446" t="str">
        <f>CONCATENATE('Исходные данные'!I16,"х",'Исходные данные'!J16)</f>
        <v>х</v>
      </c>
      <c r="I7" s="447"/>
      <c r="J7" s="447"/>
      <c r="K7" s="447">
        <f>'Исходные данные'!U16</f>
        <v>0</v>
      </c>
      <c r="L7" s="447">
        <f>IF(K7&gt;0,"ОЦ 1,5",0)</f>
        <v>0</v>
      </c>
      <c r="M7" s="466">
        <f>IF('Исходные данные'!K16=2,('Исходные данные'!I16-24)/'Исходные данные'!AG16-8.7,IF('Исходные данные'!K16=1,'Исходные данные'!I16/'Исходные данные'!AF16-14,0))</f>
        <v>0</v>
      </c>
      <c r="N7" s="466">
        <f>IF('Исходные данные'!K16=2,'Исходные данные'!J16-32,IF('Исходные данные'!K16=1,'Исходные данные'!J16-11,0))</f>
        <v>0</v>
      </c>
      <c r="O7" s="447">
        <f>L7</f>
        <v>0</v>
      </c>
      <c r="P7" s="447">
        <f>IF(N7&gt;0,"ОЦ 0,7",0)</f>
        <v>0</v>
      </c>
      <c r="Q7" s="447">
        <f>IF('Исходные данные'!K16=1,'Исходные данные'!AF16*'Исходные данные'!U16,IF('Исходные данные'!K16=2,'Исходные данные'!AG16*'Исходные данные'!U16,0))</f>
        <v>0</v>
      </c>
      <c r="R7" s="447">
        <f>IF('Исходные данные'!J16&lt;399,30,IF('Исходные данные'!J16&lt;401,95,IF('Исходные данные'!J16&gt;=450,135,0)))</f>
        <v>30</v>
      </c>
      <c r="S7" s="447">
        <f>'Задание на гибку'!AE7</f>
        <v>0</v>
      </c>
      <c r="T7" s="447">
        <f>IF('Комплектовочный лист'!E17&lt;400,30,IF('Комплектовочный лист'!E17&lt;450,95,IF('Комплектовочный лист'!E17&lt;=1200,135,0)))</f>
        <v>30</v>
      </c>
      <c r="U7" s="447">
        <f>'Задание на гибку'!AG7</f>
        <v>0</v>
      </c>
      <c r="V7" s="447">
        <f>IF(S7&gt;0,"ОЦ 0,7",0)</f>
        <v>0</v>
      </c>
      <c r="W7" s="446">
        <f>'Задание на гибку'!AH7</f>
        <v>0</v>
      </c>
      <c r="X7" s="446">
        <f>'Задание на гибку'!AI7</f>
        <v>0</v>
      </c>
      <c r="Y7" s="446">
        <f>IF(W7&gt;0,"ОЦ 1,5",0)</f>
        <v>0</v>
      </c>
      <c r="Z7" s="446">
        <f>'Задание на ТРУМПФ'!AK7</f>
        <v>0</v>
      </c>
      <c r="AA7" s="446">
        <f>'Задание на ТРУМПФ'!AL7</f>
        <v>0</v>
      </c>
      <c r="AB7" s="446">
        <f>'Задание на ТРУМПФ'!U7</f>
        <v>0</v>
      </c>
      <c r="AC7" s="446">
        <f>'Задание на ТРУМПФ'!W7</f>
        <v>0</v>
      </c>
      <c r="AD7" s="447">
        <f>IF(AC7&gt;0,"ОЦ 2,0",0)</f>
        <v>0</v>
      </c>
      <c r="AE7" s="447">
        <f>'Задание на гибку'!X7</f>
        <v>0</v>
      </c>
      <c r="AF7" s="447">
        <f>IF('Задание на гибку'!Y7&gt;0,'Исходные данные'!U16,0)</f>
        <v>0</v>
      </c>
      <c r="AG7" s="447" t="str">
        <f>CONCATENATE('Задание на гибку'!Z7,"х",'Задание на гибку'!AB7)</f>
        <v>0х0</v>
      </c>
      <c r="AH7" s="447" t="str">
        <f>CONCATENATE('Задание на гибку'!AA7,"х",'Задание на гибку'!AC7)</f>
        <v>0х0</v>
      </c>
      <c r="AI7" s="460">
        <f>'Задание на ТРУМПФ'!AM7</f>
        <v>0</v>
      </c>
      <c r="AJ7" s="461">
        <f>'Задание на ТРУМПФ'!AN7</f>
        <v>0</v>
      </c>
      <c r="AK7" s="736"/>
    </row>
    <row r="8" spans="1:37" ht="45" customHeight="1" thickBot="1">
      <c r="B8" s="444">
        <f>B7+1</f>
        <v>2</v>
      </c>
      <c r="C8" s="441">
        <f>'Задание на ТРУМПФ'!F8</f>
        <v>0</v>
      </c>
      <c r="D8" s="426" t="str">
        <f>'Задание на ТРУМПФ'!G8</f>
        <v>-х  -</v>
      </c>
      <c r="E8" s="469"/>
      <c r="F8" s="469" t="str">
        <f>IF('Исходные данные'!K17=1,"ВГ 199.01.00.001",IF('Исходные данные'!K17=2,"ВГ 199.01.00.008","---"))</f>
        <v>---</v>
      </c>
      <c r="G8" s="469" t="str">
        <f>IF('Исходные данные'!K17=1,"ВГ 199.01.00.002",IF('Исходные данные'!K17=2,"ВГ 199.01.00.007","---"))</f>
        <v>---</v>
      </c>
      <c r="H8" s="448" t="str">
        <f>CONCATENATE('Исходные данные'!I17,"х",'Исходные данные'!J17)</f>
        <v>х</v>
      </c>
      <c r="I8" s="449"/>
      <c r="J8" s="449"/>
      <c r="K8" s="449">
        <f>'Исходные данные'!U17</f>
        <v>0</v>
      </c>
      <c r="L8" s="449">
        <f t="shared" ref="L8:L21" si="0">IF(K8&gt;0,"ОЦ 1,5",0)</f>
        <v>0</v>
      </c>
      <c r="M8" s="467">
        <f>IF('Исходные данные'!K17=2,('Исходные данные'!I17-24)/'Исходные данные'!AG17-8.7,IF('Исходные данные'!K17=1,'Исходные данные'!I17/'Исходные данные'!AF17-14,0))</f>
        <v>0</v>
      </c>
      <c r="N8" s="467">
        <f>IF('Исходные данные'!K17=2,'Исходные данные'!J17-32,IF('Исходные данные'!K17=1,'Исходные данные'!J17-11,0))</f>
        <v>0</v>
      </c>
      <c r="O8" s="449">
        <f t="shared" ref="O8:O21" si="1">L8</f>
        <v>0</v>
      </c>
      <c r="P8" s="449">
        <f t="shared" ref="P8:P21" si="2">IF(N8&gt;0,"ОЦ 0,7",0)</f>
        <v>0</v>
      </c>
      <c r="Q8" s="449">
        <f>IF('Исходные данные'!K17=1,'Исходные данные'!AF17*'Исходные данные'!U17,IF('Исходные данные'!K17=2,'Исходные данные'!AG17*'Исходные данные'!U17,0))</f>
        <v>0</v>
      </c>
      <c r="R8" s="449">
        <f>IF('Исходные данные'!J17&lt;399,30,IF('Исходные данные'!J17&lt;401,95,IF('Исходные данные'!J17&gt;=450,135,0)))</f>
        <v>30</v>
      </c>
      <c r="S8" s="449">
        <f>'Задание на гибку'!AE8</f>
        <v>0</v>
      </c>
      <c r="T8" s="449">
        <f>IF('Комплектовочный лист'!E18&lt;400,30,IF('Комплектовочный лист'!E18&lt;450,95,IF('Комплектовочный лист'!E18&lt;=1200,135,0)))</f>
        <v>30</v>
      </c>
      <c r="U8" s="449">
        <f>'Задание на гибку'!AG8</f>
        <v>0</v>
      </c>
      <c r="V8" s="449">
        <f t="shared" ref="V8:V21" si="3">IF(S8&gt;0,"ОЦ 0,7",0)</f>
        <v>0</v>
      </c>
      <c r="W8" s="448">
        <f>'Задание на гибку'!AH8</f>
        <v>0</v>
      </c>
      <c r="X8" s="448">
        <f>'Задание на гибку'!AI8</f>
        <v>0</v>
      </c>
      <c r="Y8" s="448">
        <f t="shared" ref="Y8:Y21" si="4">IF(W8&gt;0,"ОЦ 1,5",0)</f>
        <v>0</v>
      </c>
      <c r="Z8" s="446">
        <f>'Задание на ТРУМПФ'!AK8</f>
        <v>0</v>
      </c>
      <c r="AA8" s="446">
        <f>'Задание на ТРУМПФ'!AL8</f>
        <v>0</v>
      </c>
      <c r="AB8" s="448">
        <f>'Задание на ТРУМПФ'!U8</f>
        <v>0</v>
      </c>
      <c r="AC8" s="448">
        <f>'Задание на ТРУМПФ'!W8</f>
        <v>0</v>
      </c>
      <c r="AD8" s="449">
        <f t="shared" ref="AD8:AD21" si="5">IF(AC8&gt;0,"ОЦ 2,0",0)</f>
        <v>0</v>
      </c>
      <c r="AE8" s="449">
        <f>'Задание на гибку'!X8</f>
        <v>0</v>
      </c>
      <c r="AF8" s="449">
        <f>IF('Задание на гибку'!Y8&gt;0,'Исходные данные'!U17,0)</f>
        <v>0</v>
      </c>
      <c r="AG8" s="449" t="str">
        <f>CONCATENATE('Задание на гибку'!Z8,"х",'Задание на гибку'!AB8)</f>
        <v>0х0</v>
      </c>
      <c r="AH8" s="449" t="str">
        <f>CONCATENATE('Задание на гибку'!AA8,"х",'Задание на гибку'!AC8)</f>
        <v>0х0</v>
      </c>
      <c r="AI8" s="462">
        <f>'Задание на ТРУМПФ'!AM8</f>
        <v>0</v>
      </c>
      <c r="AJ8" s="463">
        <f>'Задание на ТРУМПФ'!AN8</f>
        <v>0</v>
      </c>
      <c r="AK8" s="736"/>
    </row>
    <row r="9" spans="1:37" ht="33" customHeight="1" thickBot="1">
      <c r="B9" s="444">
        <f t="shared" ref="B9:B24" si="6">B8+1</f>
        <v>3</v>
      </c>
      <c r="C9" s="441">
        <f>'Задание на ТРУМПФ'!F9</f>
        <v>0</v>
      </c>
      <c r="D9" s="426" t="str">
        <f>'Задание на ТРУМПФ'!G9</f>
        <v>-х  -</v>
      </c>
      <c r="E9" s="469"/>
      <c r="F9" s="469" t="str">
        <f>IF('Исходные данные'!K18=1,"ВГ 199.01.00.001",IF('Исходные данные'!K18=2,"ВГ 199.01.00.008","---"))</f>
        <v>---</v>
      </c>
      <c r="G9" s="469" t="str">
        <f>IF('Исходные данные'!K18=1,"ВГ 199.01.00.002",IF('Исходные данные'!K18=2,"ВГ 199.01.00.007","---"))</f>
        <v>---</v>
      </c>
      <c r="H9" s="448" t="str">
        <f>CONCATENATE('Исходные данные'!I18,"х",'Исходные данные'!J18)</f>
        <v>х</v>
      </c>
      <c r="I9" s="449"/>
      <c r="J9" s="449"/>
      <c r="K9" s="449">
        <f>'Исходные данные'!U18</f>
        <v>0</v>
      </c>
      <c r="L9" s="449">
        <f t="shared" si="0"/>
        <v>0</v>
      </c>
      <c r="M9" s="467">
        <f>IF('Исходные данные'!K18=2,('Исходные данные'!I18-24)/'Исходные данные'!AG18-8.7,IF('Исходные данные'!K18=1,'Исходные данные'!I18/'Исходные данные'!AF18-14,0))</f>
        <v>0</v>
      </c>
      <c r="N9" s="467">
        <f>IF('Исходные данные'!K18=2,'Исходные данные'!J18-32,IF('Исходные данные'!K18=1,'Исходные данные'!J18-11,0))</f>
        <v>0</v>
      </c>
      <c r="O9" s="449">
        <f t="shared" si="1"/>
        <v>0</v>
      </c>
      <c r="P9" s="449">
        <f t="shared" si="2"/>
        <v>0</v>
      </c>
      <c r="Q9" s="449">
        <f>IF('Исходные данные'!K18=1,'Исходные данные'!AF18*'Исходные данные'!U18,IF('Исходные данные'!K18=2,'Исходные данные'!AG18*'Исходные данные'!U18,0))</f>
        <v>0</v>
      </c>
      <c r="R9" s="449">
        <f>IF('Исходные данные'!J18&lt;399,30,IF('Исходные данные'!J18&lt;401,95,IF('Исходные данные'!J18&gt;=450,135,0)))</f>
        <v>30</v>
      </c>
      <c r="S9" s="449">
        <f>'Задание на гибку'!AE9</f>
        <v>0</v>
      </c>
      <c r="T9" s="449">
        <f>IF('Комплектовочный лист'!E19&lt;400,30,IF('Комплектовочный лист'!E19&lt;450,95,IF('Комплектовочный лист'!E19&lt;=1200,135,0)))</f>
        <v>30</v>
      </c>
      <c r="U9" s="449">
        <f>'Задание на гибку'!AG9</f>
        <v>0</v>
      </c>
      <c r="V9" s="449">
        <f t="shared" si="3"/>
        <v>0</v>
      </c>
      <c r="W9" s="448">
        <f>'Задание на гибку'!AH9</f>
        <v>0</v>
      </c>
      <c r="X9" s="448">
        <f>'Задание на гибку'!AI9</f>
        <v>0</v>
      </c>
      <c r="Y9" s="448">
        <f t="shared" si="4"/>
        <v>0</v>
      </c>
      <c r="Z9" s="446">
        <f>'Задание на ТРУМПФ'!AK9</f>
        <v>0</v>
      </c>
      <c r="AA9" s="446">
        <f>'Задание на ТРУМПФ'!AL9</f>
        <v>0</v>
      </c>
      <c r="AB9" s="448">
        <f>'Задание на ТРУМПФ'!U9</f>
        <v>0</v>
      </c>
      <c r="AC9" s="448">
        <f>'Задание на ТРУМПФ'!W9</f>
        <v>0</v>
      </c>
      <c r="AD9" s="449">
        <f t="shared" si="5"/>
        <v>0</v>
      </c>
      <c r="AE9" s="449">
        <f>'Задание на гибку'!X9</f>
        <v>0</v>
      </c>
      <c r="AF9" s="449">
        <f>IF('Задание на гибку'!Y9&gt;0,'Исходные данные'!U18,0)</f>
        <v>0</v>
      </c>
      <c r="AG9" s="449" t="str">
        <f>CONCATENATE('Задание на гибку'!Z9,"х",'Задание на гибку'!AB9)</f>
        <v>0х0</v>
      </c>
      <c r="AH9" s="449" t="str">
        <f>CONCATENATE('Задание на гибку'!AA9,"х",'Задание на гибку'!AC9)</f>
        <v>0х0</v>
      </c>
      <c r="AI9" s="462">
        <f>'Задание на ТРУМПФ'!AM9</f>
        <v>0</v>
      </c>
      <c r="AJ9" s="463">
        <f>'Задание на ТРУМПФ'!AN9</f>
        <v>0</v>
      </c>
      <c r="AK9" s="735" t="s">
        <v>187</v>
      </c>
    </row>
    <row r="10" spans="1:37" ht="42" customHeight="1" thickBot="1">
      <c r="B10" s="444">
        <f t="shared" si="6"/>
        <v>4</v>
      </c>
      <c r="C10" s="441">
        <f>'Задание на ТРУМПФ'!F10</f>
        <v>0</v>
      </c>
      <c r="D10" s="426" t="str">
        <f>'Задание на ТРУМПФ'!G10</f>
        <v>-х  -</v>
      </c>
      <c r="E10" s="469"/>
      <c r="F10" s="469" t="str">
        <f>IF('Исходные данные'!K19=1,"ВГ 199.01.00.001",IF('Исходные данные'!K19=2,"ВГ 199.01.00.008","---"))</f>
        <v>---</v>
      </c>
      <c r="G10" s="469" t="str">
        <f>IF('Исходные данные'!K19=1,"ВГ 199.01.00.002",IF('Исходные данные'!K19=2,"ВГ 199.01.00.007","---"))</f>
        <v>---</v>
      </c>
      <c r="H10" s="448" t="str">
        <f>CONCATENATE('Исходные данные'!I19,"х",'Исходные данные'!J19)</f>
        <v>х</v>
      </c>
      <c r="I10" s="449"/>
      <c r="J10" s="449"/>
      <c r="K10" s="449">
        <f>'Исходные данные'!U19</f>
        <v>0</v>
      </c>
      <c r="L10" s="449">
        <f t="shared" si="0"/>
        <v>0</v>
      </c>
      <c r="M10" s="467">
        <f>IF('Исходные данные'!K19=2,('Исходные данные'!I19-24)/'Исходные данные'!AG19-8.7,IF('Исходные данные'!K19=1,'Исходные данные'!I19/'Исходные данные'!AF19-14,0))</f>
        <v>0</v>
      </c>
      <c r="N10" s="467">
        <f>IF('Исходные данные'!K19=2,'Исходные данные'!J19-32,IF('Исходные данные'!K19=1,'Исходные данные'!J19-11,0))</f>
        <v>0</v>
      </c>
      <c r="O10" s="449">
        <f t="shared" si="1"/>
        <v>0</v>
      </c>
      <c r="P10" s="449">
        <f t="shared" si="2"/>
        <v>0</v>
      </c>
      <c r="Q10" s="449">
        <f>IF('Исходные данные'!K19=1,'Исходные данные'!AF19*'Исходные данные'!U19,IF('Исходные данные'!K19=2,'Исходные данные'!AG19*'Исходные данные'!U19,0))</f>
        <v>0</v>
      </c>
      <c r="R10" s="449">
        <f>IF('Исходные данные'!J19&lt;399,30,IF('Исходные данные'!J19&lt;401,95,IF('Исходные данные'!J19&gt;=450,135,0)))</f>
        <v>30</v>
      </c>
      <c r="S10" s="449">
        <f>'Задание на гибку'!AE10</f>
        <v>0</v>
      </c>
      <c r="T10" s="449">
        <f>IF('Комплектовочный лист'!E20&lt;400,30,IF('Комплектовочный лист'!E20&lt;450,95,IF('Комплектовочный лист'!E20&lt;=1200,135,0)))</f>
        <v>30</v>
      </c>
      <c r="U10" s="449">
        <f>'Задание на гибку'!AG10</f>
        <v>0</v>
      </c>
      <c r="V10" s="449">
        <f t="shared" si="3"/>
        <v>0</v>
      </c>
      <c r="W10" s="448">
        <f>'Задание на гибку'!AH10</f>
        <v>0</v>
      </c>
      <c r="X10" s="448">
        <f>'Задание на гибку'!AI10</f>
        <v>0</v>
      </c>
      <c r="Y10" s="448">
        <f t="shared" si="4"/>
        <v>0</v>
      </c>
      <c r="Z10" s="446">
        <f>'Задание на ТРУМПФ'!AK10</f>
        <v>0</v>
      </c>
      <c r="AA10" s="446">
        <f>'Задание на ТРУМПФ'!AL10</f>
        <v>0</v>
      </c>
      <c r="AB10" s="448">
        <f>'Задание на ТРУМПФ'!U10</f>
        <v>0</v>
      </c>
      <c r="AC10" s="448">
        <f>'Задание на ТРУМПФ'!W10</f>
        <v>0</v>
      </c>
      <c r="AD10" s="449">
        <f t="shared" si="5"/>
        <v>0</v>
      </c>
      <c r="AE10" s="449">
        <f>'Задание на гибку'!X10</f>
        <v>0</v>
      </c>
      <c r="AF10" s="449">
        <f>IF('Задание на гибку'!Y10&gt;0,'Исходные данные'!U19,0)</f>
        <v>0</v>
      </c>
      <c r="AG10" s="449" t="str">
        <f>CONCATENATE('Задание на гибку'!Z10,"х",'Задание на гибку'!AB10)</f>
        <v>0х0</v>
      </c>
      <c r="AH10" s="449" t="str">
        <f>CONCATENATE('Задание на гибку'!AA10,"х",'Задание на гибку'!AC10)</f>
        <v>0х0</v>
      </c>
      <c r="AI10" s="462">
        <f>'Задание на ТРУМПФ'!AM10</f>
        <v>0</v>
      </c>
      <c r="AJ10" s="463">
        <f>'Задание на ТРУМПФ'!AN10</f>
        <v>0</v>
      </c>
      <c r="AK10" s="735"/>
    </row>
    <row r="11" spans="1:37" ht="33" customHeight="1" thickBot="1">
      <c r="B11" s="444">
        <f t="shared" si="6"/>
        <v>5</v>
      </c>
      <c r="C11" s="441">
        <f>'Задание на ТРУМПФ'!F11</f>
        <v>0</v>
      </c>
      <c r="D11" s="426" t="str">
        <f>'Задание на ТРУМПФ'!G11</f>
        <v>-х  -</v>
      </c>
      <c r="E11" s="469"/>
      <c r="F11" s="469" t="str">
        <f>IF('Исходные данные'!K20=1,"ВГ 199.01.00.001",IF('Исходные данные'!K20=2,"ВГ 199.01.00.008","---"))</f>
        <v>---</v>
      </c>
      <c r="G11" s="469" t="str">
        <f>IF('Исходные данные'!K20=1,"ВГ 199.01.00.002",IF('Исходные данные'!K20=2,"ВГ 199.01.00.007","---"))</f>
        <v>---</v>
      </c>
      <c r="H11" s="448" t="str">
        <f>CONCATENATE('Исходные данные'!I20,"х",'Исходные данные'!J20)</f>
        <v>х</v>
      </c>
      <c r="I11" s="449"/>
      <c r="J11" s="449"/>
      <c r="K11" s="449">
        <f>'Исходные данные'!U20</f>
        <v>0</v>
      </c>
      <c r="L11" s="449">
        <f t="shared" si="0"/>
        <v>0</v>
      </c>
      <c r="M11" s="467">
        <f>IF('Исходные данные'!K20=2,('Исходные данные'!I20-24)/'Исходные данные'!AG20-8.7,IF('Исходные данные'!K20=1,'Исходные данные'!I20/'Исходные данные'!AF20-14,0))</f>
        <v>0</v>
      </c>
      <c r="N11" s="467">
        <f>IF('Исходные данные'!K20=2,'Исходные данные'!J20-32,IF('Исходные данные'!K20=1,'Исходные данные'!J20-11,0))</f>
        <v>0</v>
      </c>
      <c r="O11" s="449">
        <f t="shared" si="1"/>
        <v>0</v>
      </c>
      <c r="P11" s="449">
        <f t="shared" si="2"/>
        <v>0</v>
      </c>
      <c r="Q11" s="449">
        <f>IF('Исходные данные'!K20=1,'Исходные данные'!AF20*'Исходные данные'!U20,IF('Исходные данные'!K20=2,'Исходные данные'!AG20*'Исходные данные'!U20,0))</f>
        <v>0</v>
      </c>
      <c r="R11" s="449">
        <f>IF('Исходные данные'!J20&lt;399,30,IF('Исходные данные'!J20&lt;401,95,IF('Исходные данные'!J20&gt;=450,135,0)))</f>
        <v>30</v>
      </c>
      <c r="S11" s="449">
        <f>'Задание на гибку'!AE11</f>
        <v>0</v>
      </c>
      <c r="T11" s="449">
        <f>IF('Комплектовочный лист'!E21&lt;400,30,IF('Комплектовочный лист'!E21&lt;450,95,IF('Комплектовочный лист'!E21&lt;=1200,135,0)))</f>
        <v>30</v>
      </c>
      <c r="U11" s="449">
        <f>'Задание на гибку'!AG11</f>
        <v>0</v>
      </c>
      <c r="V11" s="449">
        <f t="shared" si="3"/>
        <v>0</v>
      </c>
      <c r="W11" s="448">
        <f>'Задание на гибку'!AH11</f>
        <v>0</v>
      </c>
      <c r="X11" s="448">
        <f>'Задание на гибку'!AI11</f>
        <v>0</v>
      </c>
      <c r="Y11" s="448">
        <f t="shared" si="4"/>
        <v>0</v>
      </c>
      <c r="Z11" s="446">
        <f>'Задание на ТРУМПФ'!AK11</f>
        <v>0</v>
      </c>
      <c r="AA11" s="446">
        <f>'Задание на ТРУМПФ'!AL11</f>
        <v>0</v>
      </c>
      <c r="AB11" s="448">
        <f>'Задание на ТРУМПФ'!U11</f>
        <v>0</v>
      </c>
      <c r="AC11" s="448">
        <f>'Задание на ТРУМПФ'!W11</f>
        <v>0</v>
      </c>
      <c r="AD11" s="449">
        <f t="shared" si="5"/>
        <v>0</v>
      </c>
      <c r="AE11" s="449">
        <f>'Задание на гибку'!X11</f>
        <v>0</v>
      </c>
      <c r="AF11" s="449">
        <f>IF('Задание на гибку'!Y11&gt;0,'Исходные данные'!U20,0)</f>
        <v>0</v>
      </c>
      <c r="AG11" s="449" t="str">
        <f>CONCATENATE('Задание на гибку'!Z11,"х",'Задание на гибку'!AB11)</f>
        <v>0х0</v>
      </c>
      <c r="AH11" s="449" t="str">
        <f>CONCATENATE('Задание на гибку'!AA11,"х",'Задание на гибку'!AC11)</f>
        <v>0х0</v>
      </c>
      <c r="AI11" s="462">
        <f>'Задание на ТРУМПФ'!AM11</f>
        <v>0</v>
      </c>
      <c r="AJ11" s="463">
        <f>'Задание на ТРУМПФ'!AN11</f>
        <v>0</v>
      </c>
      <c r="AK11" s="735"/>
    </row>
    <row r="12" spans="1:37" ht="33" customHeight="1" thickBot="1">
      <c r="B12" s="444">
        <f t="shared" si="6"/>
        <v>6</v>
      </c>
      <c r="C12" s="441">
        <f>'Задание на ТРУМПФ'!F12</f>
        <v>0</v>
      </c>
      <c r="D12" s="426" t="str">
        <f>'Задание на ТРУМПФ'!G12</f>
        <v>-х  -</v>
      </c>
      <c r="E12" s="469"/>
      <c r="F12" s="469" t="str">
        <f>IF('Исходные данные'!K21=1,"ВГ 199.01.00.001",IF('Исходные данные'!K21=2,"ВГ 199.01.00.008","---"))</f>
        <v>---</v>
      </c>
      <c r="G12" s="469" t="str">
        <f>IF('Исходные данные'!K21=1,"ВГ 199.01.00.002",IF('Исходные данные'!K21=2,"ВГ 199.01.00.007","---"))</f>
        <v>---</v>
      </c>
      <c r="H12" s="448" t="str">
        <f>CONCATENATE('Исходные данные'!I21,"х",'Исходные данные'!J21)</f>
        <v>х</v>
      </c>
      <c r="I12" s="449"/>
      <c r="J12" s="449"/>
      <c r="K12" s="449">
        <f>'Исходные данные'!U21</f>
        <v>0</v>
      </c>
      <c r="L12" s="449">
        <f t="shared" si="0"/>
        <v>0</v>
      </c>
      <c r="M12" s="467">
        <f>IF('Исходные данные'!K21=2,('Исходные данные'!I21-24)/'Исходные данные'!AG21-8.7,IF('Исходные данные'!K21=1,'Исходные данные'!I21/'Исходные данные'!AF21-14,0))</f>
        <v>0</v>
      </c>
      <c r="N12" s="467">
        <f>IF('Исходные данные'!K21=2,'Исходные данные'!J21-32,IF('Исходные данные'!K21=1,'Исходные данные'!J21-11,0))</f>
        <v>0</v>
      </c>
      <c r="O12" s="449">
        <f t="shared" si="1"/>
        <v>0</v>
      </c>
      <c r="P12" s="449">
        <f t="shared" si="2"/>
        <v>0</v>
      </c>
      <c r="Q12" s="449">
        <f>IF('Исходные данные'!K21=1,'Исходные данные'!AF21*'Исходные данные'!U21,IF('Исходные данные'!K21=2,'Исходные данные'!AG21*'Исходные данные'!U21,0))</f>
        <v>0</v>
      </c>
      <c r="R12" s="449">
        <f>IF('Исходные данные'!J21&lt;399,30,IF('Исходные данные'!J21&lt;401,95,IF('Исходные данные'!J21&gt;=450,135,0)))</f>
        <v>30</v>
      </c>
      <c r="S12" s="449">
        <f>'Задание на гибку'!AE12</f>
        <v>0</v>
      </c>
      <c r="T12" s="449">
        <f>IF('Комплектовочный лист'!E22&lt;400,30,IF('Комплектовочный лист'!E22&lt;450,95,IF('Комплектовочный лист'!E22&lt;=1200,135,0)))</f>
        <v>30</v>
      </c>
      <c r="U12" s="449">
        <f>'Задание на гибку'!AG12</f>
        <v>0</v>
      </c>
      <c r="V12" s="449">
        <f t="shared" si="3"/>
        <v>0</v>
      </c>
      <c r="W12" s="448">
        <f>'Задание на гибку'!AH12</f>
        <v>0</v>
      </c>
      <c r="X12" s="448">
        <f>'Задание на гибку'!AI12</f>
        <v>0</v>
      </c>
      <c r="Y12" s="448">
        <f t="shared" si="4"/>
        <v>0</v>
      </c>
      <c r="Z12" s="446">
        <f>'Задание на ТРУМПФ'!AK12</f>
        <v>0</v>
      </c>
      <c r="AA12" s="446">
        <f>'Задание на ТРУМПФ'!AL12</f>
        <v>0</v>
      </c>
      <c r="AB12" s="448">
        <f>'Задание на ТРУМПФ'!U12</f>
        <v>0</v>
      </c>
      <c r="AC12" s="448">
        <f>'Задание на ТРУМПФ'!W12</f>
        <v>0</v>
      </c>
      <c r="AD12" s="449">
        <f t="shared" si="5"/>
        <v>0</v>
      </c>
      <c r="AE12" s="449">
        <f>'Задание на гибку'!X12</f>
        <v>0</v>
      </c>
      <c r="AF12" s="449">
        <f>IF('Задание на гибку'!Y12&gt;0,'Исходные данные'!U21,0)</f>
        <v>0</v>
      </c>
      <c r="AG12" s="449" t="str">
        <f>CONCATENATE('Задание на гибку'!Z12,"х",'Задание на гибку'!AB12)</f>
        <v>0х0</v>
      </c>
      <c r="AH12" s="449" t="str">
        <f>CONCATENATE('Задание на гибку'!AA12,"х",'Задание на гибку'!AC12)</f>
        <v>0х0</v>
      </c>
      <c r="AI12" s="462">
        <f>'Задание на ТРУМПФ'!AM12</f>
        <v>0</v>
      </c>
      <c r="AJ12" s="463">
        <f>'Задание на ТРУМПФ'!AN12</f>
        <v>0</v>
      </c>
      <c r="AK12" s="735"/>
    </row>
    <row r="13" spans="1:37" ht="33" customHeight="1" thickBot="1">
      <c r="B13" s="444">
        <f t="shared" si="6"/>
        <v>7</v>
      </c>
      <c r="C13" s="441">
        <f>'Задание на ТРУМПФ'!F13</f>
        <v>0</v>
      </c>
      <c r="D13" s="426" t="str">
        <f>'Задание на ТРУМПФ'!G13</f>
        <v>-х  -</v>
      </c>
      <c r="E13" s="469"/>
      <c r="F13" s="469" t="str">
        <f>IF('Исходные данные'!K22=1,"ВГ 199.01.00.001",IF('Исходные данные'!K22=2,"ВГ 199.01.00.008","---"))</f>
        <v>---</v>
      </c>
      <c r="G13" s="469" t="str">
        <f>IF('Исходные данные'!K22=1,"ВГ 199.01.00.002",IF('Исходные данные'!K22=2,"ВГ 199.01.00.007","---"))</f>
        <v>---</v>
      </c>
      <c r="H13" s="448" t="str">
        <f>CONCATENATE('Исходные данные'!I22,"х",'Исходные данные'!J22)</f>
        <v>х</v>
      </c>
      <c r="I13" s="449"/>
      <c r="J13" s="449"/>
      <c r="K13" s="449">
        <f>'Исходные данные'!U22</f>
        <v>0</v>
      </c>
      <c r="L13" s="449">
        <f t="shared" si="0"/>
        <v>0</v>
      </c>
      <c r="M13" s="467">
        <f>IF('Исходные данные'!K22=2,('Исходные данные'!I22-24)/'Исходные данные'!AG22-8.7,IF('Исходные данные'!K22=1,'Исходные данные'!I22/'Исходные данные'!AF22-14,0))</f>
        <v>0</v>
      </c>
      <c r="N13" s="467">
        <f>IF('Исходные данные'!K22=2,'Исходные данные'!J22-32,IF('Исходные данные'!K22=1,'Исходные данные'!J22-11,0))</f>
        <v>0</v>
      </c>
      <c r="O13" s="449">
        <f t="shared" si="1"/>
        <v>0</v>
      </c>
      <c r="P13" s="449">
        <f t="shared" si="2"/>
        <v>0</v>
      </c>
      <c r="Q13" s="449">
        <f>IF('Исходные данные'!K22=1,'Исходные данные'!AF22*'Исходные данные'!U22,IF('Исходные данные'!K22=2,'Исходные данные'!AG22*'Исходные данные'!U22,0))</f>
        <v>0</v>
      </c>
      <c r="R13" s="449">
        <f>IF('Исходные данные'!J22&lt;399,30,IF('Исходные данные'!J22&lt;401,95,IF('Исходные данные'!J22&gt;=450,135,0)))</f>
        <v>30</v>
      </c>
      <c r="S13" s="449">
        <f>'Задание на гибку'!AE13</f>
        <v>0</v>
      </c>
      <c r="T13" s="449">
        <f>IF('Комплектовочный лист'!E23&lt;400,30,IF('Комплектовочный лист'!E23&lt;450,95,IF('Комплектовочный лист'!E23&lt;=1200,135,0)))</f>
        <v>30</v>
      </c>
      <c r="U13" s="449">
        <f>'Задание на гибку'!AG13</f>
        <v>0</v>
      </c>
      <c r="V13" s="449">
        <f t="shared" si="3"/>
        <v>0</v>
      </c>
      <c r="W13" s="448">
        <f>'Задание на гибку'!AH13</f>
        <v>0</v>
      </c>
      <c r="X13" s="448">
        <f>'Задание на гибку'!AI13</f>
        <v>0</v>
      </c>
      <c r="Y13" s="448">
        <f t="shared" si="4"/>
        <v>0</v>
      </c>
      <c r="Z13" s="446">
        <f>'Задание на ТРУМПФ'!AK13</f>
        <v>0</v>
      </c>
      <c r="AA13" s="446">
        <f>'Задание на ТРУМПФ'!AL13</f>
        <v>0</v>
      </c>
      <c r="AB13" s="448">
        <f>'Задание на ТРУМПФ'!U13</f>
        <v>0</v>
      </c>
      <c r="AC13" s="448">
        <f>'Задание на ТРУМПФ'!W13</f>
        <v>0</v>
      </c>
      <c r="AD13" s="449">
        <f t="shared" si="5"/>
        <v>0</v>
      </c>
      <c r="AE13" s="449">
        <f>'Задание на гибку'!X13</f>
        <v>0</v>
      </c>
      <c r="AF13" s="449">
        <f>IF('Задание на гибку'!Y13&gt;0,'Исходные данные'!U22,0)</f>
        <v>0</v>
      </c>
      <c r="AG13" s="449" t="str">
        <f>CONCATENATE('Задание на гибку'!Z13,"х",'Задание на гибку'!AB13)</f>
        <v>0х0</v>
      </c>
      <c r="AH13" s="449" t="str">
        <f>CONCATENATE('Задание на гибку'!AA13,"х",'Задание на гибку'!AC13)</f>
        <v>0х0</v>
      </c>
      <c r="AI13" s="462">
        <f>'Задание на ТРУМПФ'!AM13</f>
        <v>0</v>
      </c>
      <c r="AJ13" s="463">
        <f>'Задание на ТРУМПФ'!AN13</f>
        <v>0</v>
      </c>
      <c r="AK13" s="735"/>
    </row>
    <row r="14" spans="1:37" ht="33" customHeight="1" thickBot="1">
      <c r="B14" s="444">
        <f t="shared" si="6"/>
        <v>8</v>
      </c>
      <c r="C14" s="441">
        <f>'Задание на ТРУМПФ'!F14</f>
        <v>0</v>
      </c>
      <c r="D14" s="426" t="str">
        <f>'Задание на ТРУМПФ'!G14</f>
        <v>-х  -</v>
      </c>
      <c r="E14" s="469"/>
      <c r="F14" s="469" t="str">
        <f>IF('Исходные данные'!K23=1,"ВГ 199.01.00.001",IF('Исходные данные'!K23=2,"ВГ 199.01.00.008","---"))</f>
        <v>---</v>
      </c>
      <c r="G14" s="469" t="str">
        <f>IF('Исходные данные'!K23=1,"ВГ 199.01.00.002",IF('Исходные данные'!K23=2,"ВГ 199.01.00.007","---"))</f>
        <v>---</v>
      </c>
      <c r="H14" s="448" t="str">
        <f>CONCATENATE('Исходные данные'!I23,"х",'Исходные данные'!J23)</f>
        <v>х</v>
      </c>
      <c r="I14" s="449"/>
      <c r="J14" s="449"/>
      <c r="K14" s="449">
        <f>'Исходные данные'!U23</f>
        <v>0</v>
      </c>
      <c r="L14" s="449">
        <f t="shared" si="0"/>
        <v>0</v>
      </c>
      <c r="M14" s="467">
        <f>IF('Исходные данные'!K23=2,('Исходные данные'!I23-24)/'Исходные данные'!AG23-8.7,IF('Исходные данные'!K23=1,'Исходные данные'!I23/'Исходные данные'!AF23-14,0))</f>
        <v>0</v>
      </c>
      <c r="N14" s="467">
        <f>IF('Исходные данные'!K23=2,'Исходные данные'!J23-32,IF('Исходные данные'!K23=1,'Исходные данные'!J23-11,0))</f>
        <v>0</v>
      </c>
      <c r="O14" s="449">
        <f t="shared" si="1"/>
        <v>0</v>
      </c>
      <c r="P14" s="449">
        <f t="shared" si="2"/>
        <v>0</v>
      </c>
      <c r="Q14" s="449">
        <f>IF('Исходные данные'!K23=1,'Исходные данные'!AF23*'Исходные данные'!U23,IF('Исходные данные'!K23=2,'Исходные данные'!AG23*'Исходные данные'!U23,0))</f>
        <v>0</v>
      </c>
      <c r="R14" s="449">
        <f>IF('Исходные данные'!J23&lt;399,30,IF('Исходные данные'!J23&lt;401,95,IF('Исходные данные'!J23&gt;=450,135,0)))</f>
        <v>30</v>
      </c>
      <c r="S14" s="449">
        <f>'Задание на гибку'!AE14</f>
        <v>0</v>
      </c>
      <c r="T14" s="449">
        <f>IF('Комплектовочный лист'!E24&lt;400,30,IF('Комплектовочный лист'!E24&lt;450,95,IF('Комплектовочный лист'!E24&lt;=1200,135,0)))</f>
        <v>30</v>
      </c>
      <c r="U14" s="449">
        <f>'Задание на гибку'!AG14</f>
        <v>0</v>
      </c>
      <c r="V14" s="449">
        <f t="shared" si="3"/>
        <v>0</v>
      </c>
      <c r="W14" s="448">
        <f>'Задание на гибку'!AH14</f>
        <v>0</v>
      </c>
      <c r="X14" s="448">
        <f>'Задание на гибку'!AI14</f>
        <v>0</v>
      </c>
      <c r="Y14" s="448">
        <f t="shared" si="4"/>
        <v>0</v>
      </c>
      <c r="Z14" s="446">
        <f>'Задание на ТРУМПФ'!AK14</f>
        <v>0</v>
      </c>
      <c r="AA14" s="446">
        <f>'Задание на ТРУМПФ'!AL14</f>
        <v>0</v>
      </c>
      <c r="AB14" s="448">
        <f>'Задание на ТРУМПФ'!U14</f>
        <v>0</v>
      </c>
      <c r="AC14" s="448">
        <f>'Задание на ТРУМПФ'!W14</f>
        <v>0</v>
      </c>
      <c r="AD14" s="449">
        <f t="shared" si="5"/>
        <v>0</v>
      </c>
      <c r="AE14" s="449">
        <f>'Задание на гибку'!X14</f>
        <v>0</v>
      </c>
      <c r="AF14" s="449">
        <f>IF('Задание на гибку'!Y14&gt;0,'Исходные данные'!U23,0)</f>
        <v>0</v>
      </c>
      <c r="AG14" s="449" t="str">
        <f>CONCATENATE('Задание на гибку'!Z14,"х",'Задание на гибку'!AB14)</f>
        <v>0х0</v>
      </c>
      <c r="AH14" s="449" t="str">
        <f>CONCATENATE('Задание на гибку'!AA14,"х",'Задание на гибку'!AC14)</f>
        <v>0х0</v>
      </c>
      <c r="AI14" s="462">
        <f>'Задание на ТРУМПФ'!AM14</f>
        <v>0</v>
      </c>
      <c r="AJ14" s="463">
        <f>'Задание на ТРУМПФ'!AN14</f>
        <v>0</v>
      </c>
      <c r="AK14" s="735"/>
    </row>
    <row r="15" spans="1:37" ht="33" customHeight="1" thickBot="1">
      <c r="B15" s="444">
        <f t="shared" si="6"/>
        <v>9</v>
      </c>
      <c r="C15" s="441">
        <f>'Задание на ТРУМПФ'!F15</f>
        <v>0</v>
      </c>
      <c r="D15" s="426" t="str">
        <f>'Задание на ТРУМПФ'!G15</f>
        <v>-х  -</v>
      </c>
      <c r="E15" s="469"/>
      <c r="F15" s="469" t="str">
        <f>IF('Исходные данные'!K24=1,"ВГ 199.01.00.001",IF('Исходные данные'!K24=2,"ВГ 199.01.00.008","---"))</f>
        <v>---</v>
      </c>
      <c r="G15" s="469" t="str">
        <f>IF('Исходные данные'!K24=1,"ВГ 199.01.00.002",IF('Исходные данные'!K24=2,"ВГ 199.01.00.007","---"))</f>
        <v>---</v>
      </c>
      <c r="H15" s="448" t="str">
        <f>CONCATENATE('Исходные данные'!I24,"х",'Исходные данные'!J24)</f>
        <v>х</v>
      </c>
      <c r="I15" s="449"/>
      <c r="J15" s="449"/>
      <c r="K15" s="449">
        <f>'Исходные данные'!U24</f>
        <v>0</v>
      </c>
      <c r="L15" s="449">
        <f t="shared" si="0"/>
        <v>0</v>
      </c>
      <c r="M15" s="467">
        <f>IF('Исходные данные'!K24=2,('Исходные данные'!I24-24)/'Исходные данные'!AG24-8.7,IF('Исходные данные'!K24=1,'Исходные данные'!I24/'Исходные данные'!AF24-14,0))</f>
        <v>0</v>
      </c>
      <c r="N15" s="467">
        <f>IF('Исходные данные'!K24=2,'Исходные данные'!J24-32,IF('Исходные данные'!K24=1,'Исходные данные'!J24-11,0))</f>
        <v>0</v>
      </c>
      <c r="O15" s="449">
        <f t="shared" si="1"/>
        <v>0</v>
      </c>
      <c r="P15" s="449">
        <f t="shared" si="2"/>
        <v>0</v>
      </c>
      <c r="Q15" s="449">
        <f>IF('Исходные данные'!K24=1,'Исходные данные'!AF24*'Исходные данные'!U24,IF('Исходные данные'!K24=2,'Исходные данные'!AG24*'Исходные данные'!U24,0))</f>
        <v>0</v>
      </c>
      <c r="R15" s="449">
        <f>IF('Исходные данные'!J24&lt;399,30,IF('Исходные данные'!J24&lt;401,95,IF('Исходные данные'!J24&gt;=450,135,0)))</f>
        <v>30</v>
      </c>
      <c r="S15" s="449">
        <f>'Задание на гибку'!AE15</f>
        <v>0</v>
      </c>
      <c r="T15" s="449">
        <f>IF('Комплектовочный лист'!E25&lt;400,30,IF('Комплектовочный лист'!E25&lt;450,95,IF('Комплектовочный лист'!E25&lt;=1200,135,0)))</f>
        <v>30</v>
      </c>
      <c r="U15" s="449">
        <f>'Задание на гибку'!AG15</f>
        <v>0</v>
      </c>
      <c r="V15" s="449">
        <f t="shared" si="3"/>
        <v>0</v>
      </c>
      <c r="W15" s="448">
        <f>'Задание на гибку'!AH15</f>
        <v>0</v>
      </c>
      <c r="X15" s="448">
        <f>'Задание на гибку'!AI15</f>
        <v>0</v>
      </c>
      <c r="Y15" s="448">
        <f t="shared" si="4"/>
        <v>0</v>
      </c>
      <c r="Z15" s="446">
        <f>'Задание на ТРУМПФ'!AK15</f>
        <v>0</v>
      </c>
      <c r="AA15" s="446">
        <f>'Задание на ТРУМПФ'!AL15</f>
        <v>0</v>
      </c>
      <c r="AB15" s="448">
        <f>'Задание на ТРУМПФ'!U15</f>
        <v>0</v>
      </c>
      <c r="AC15" s="448">
        <f>'Задание на ТРУМПФ'!W15</f>
        <v>0</v>
      </c>
      <c r="AD15" s="449">
        <f t="shared" si="5"/>
        <v>0</v>
      </c>
      <c r="AE15" s="449">
        <f>'Задание на гибку'!X15</f>
        <v>0</v>
      </c>
      <c r="AF15" s="449">
        <f>IF('Задание на гибку'!Y15&gt;0,'Исходные данные'!U24,0)</f>
        <v>0</v>
      </c>
      <c r="AG15" s="449" t="str">
        <f>CONCATENATE('Задание на гибку'!Z15,"х",'Задание на гибку'!AB15)</f>
        <v>0х0</v>
      </c>
      <c r="AH15" s="449" t="str">
        <f>CONCATENATE('Задание на гибку'!AA15,"х",'Задание на гибку'!AC15)</f>
        <v>0х0</v>
      </c>
      <c r="AI15" s="462">
        <f>'Задание на ТРУМПФ'!AM15</f>
        <v>0</v>
      </c>
      <c r="AJ15" s="463">
        <f>'Задание на ТРУМПФ'!AN15</f>
        <v>0</v>
      </c>
      <c r="AK15" s="735"/>
    </row>
    <row r="16" spans="1:37" ht="33" customHeight="1" thickBot="1">
      <c r="B16" s="444">
        <f t="shared" si="6"/>
        <v>10</v>
      </c>
      <c r="C16" s="441">
        <f>'Задание на ТРУМПФ'!F16</f>
        <v>0</v>
      </c>
      <c r="D16" s="426" t="str">
        <f>'Задание на ТРУМПФ'!G16</f>
        <v>-х  -</v>
      </c>
      <c r="E16" s="469"/>
      <c r="F16" s="469" t="str">
        <f>IF('Исходные данные'!K25=1,"ВГ 199.01.00.001",IF('Исходные данные'!K25=2,"ВГ 199.01.00.008","---"))</f>
        <v>---</v>
      </c>
      <c r="G16" s="469" t="str">
        <f>IF('Исходные данные'!K25=1,"ВГ 199.01.00.002",IF('Исходные данные'!K25=2,"ВГ 199.01.00.007","---"))</f>
        <v>---</v>
      </c>
      <c r="H16" s="448" t="str">
        <f>CONCATENATE('Исходные данные'!I25,"х",'Исходные данные'!J25)</f>
        <v>х</v>
      </c>
      <c r="I16" s="449"/>
      <c r="J16" s="449"/>
      <c r="K16" s="449">
        <f>'Исходные данные'!U25</f>
        <v>0</v>
      </c>
      <c r="L16" s="449">
        <f t="shared" si="0"/>
        <v>0</v>
      </c>
      <c r="M16" s="467">
        <f>IF('Исходные данные'!K25=2,('Исходные данные'!I25-24)/'Исходные данные'!AG25-8.7,IF('Исходные данные'!K25=1,'Исходные данные'!I25/'Исходные данные'!AF25-14,0))</f>
        <v>0</v>
      </c>
      <c r="N16" s="467">
        <f>IF('Исходные данные'!K25=2,'Исходные данные'!J25-32,IF('Исходные данные'!K25=1,'Исходные данные'!J25-11,0))</f>
        <v>0</v>
      </c>
      <c r="O16" s="449">
        <f t="shared" si="1"/>
        <v>0</v>
      </c>
      <c r="P16" s="449">
        <f t="shared" si="2"/>
        <v>0</v>
      </c>
      <c r="Q16" s="449">
        <f>IF('Исходные данные'!K25=1,'Исходные данные'!AF25*'Исходные данные'!U25,IF('Исходные данные'!K25=2,'Исходные данные'!AG25*'Исходные данные'!U25,0))</f>
        <v>0</v>
      </c>
      <c r="R16" s="449">
        <f>IF('Исходные данные'!J25&lt;399,30,IF('Исходные данные'!J25&lt;401,95,IF('Исходные данные'!J25&gt;=450,135,0)))</f>
        <v>30</v>
      </c>
      <c r="S16" s="449">
        <f>'Задание на гибку'!AE16</f>
        <v>0</v>
      </c>
      <c r="T16" s="449">
        <f>IF('Комплектовочный лист'!E26&lt;400,30,IF('Комплектовочный лист'!E26&lt;450,95,IF('Комплектовочный лист'!E26&lt;=1200,135,0)))</f>
        <v>30</v>
      </c>
      <c r="U16" s="449">
        <f>'Задание на гибку'!AG16</f>
        <v>0</v>
      </c>
      <c r="V16" s="449">
        <f t="shared" si="3"/>
        <v>0</v>
      </c>
      <c r="W16" s="448">
        <f>'Задание на гибку'!AH16</f>
        <v>0</v>
      </c>
      <c r="X16" s="448">
        <f>'Задание на гибку'!AI16</f>
        <v>0</v>
      </c>
      <c r="Y16" s="448">
        <f t="shared" si="4"/>
        <v>0</v>
      </c>
      <c r="Z16" s="446">
        <f>'Задание на ТРУМПФ'!AK16</f>
        <v>0</v>
      </c>
      <c r="AA16" s="446">
        <f>'Задание на ТРУМПФ'!AL16</f>
        <v>0</v>
      </c>
      <c r="AB16" s="448">
        <f>'Задание на ТРУМПФ'!U16</f>
        <v>0</v>
      </c>
      <c r="AC16" s="448">
        <f>'Задание на ТРУМПФ'!W16</f>
        <v>0</v>
      </c>
      <c r="AD16" s="449">
        <f t="shared" si="5"/>
        <v>0</v>
      </c>
      <c r="AE16" s="449">
        <f>'Задание на гибку'!X16</f>
        <v>0</v>
      </c>
      <c r="AF16" s="449">
        <f>IF('Задание на гибку'!Y16&gt;0,'Исходные данные'!U25,0)</f>
        <v>0</v>
      </c>
      <c r="AG16" s="449" t="str">
        <f>CONCATENATE('Задание на гибку'!Z16,"х",'Задание на гибку'!AB16)</f>
        <v>0х0</v>
      </c>
      <c r="AH16" s="449" t="str">
        <f>CONCATENATE('Задание на гибку'!AA16,"х",'Задание на гибку'!AC16)</f>
        <v>0х0</v>
      </c>
      <c r="AI16" s="462">
        <f>'Задание на ТРУМПФ'!AM16</f>
        <v>0</v>
      </c>
      <c r="AJ16" s="463">
        <f>'Задание на ТРУМПФ'!AN16</f>
        <v>0</v>
      </c>
      <c r="AK16" s="735"/>
    </row>
    <row r="17" spans="1:37" ht="33" customHeight="1" thickBot="1">
      <c r="A17" s="607"/>
      <c r="B17" s="444">
        <f t="shared" si="6"/>
        <v>11</v>
      </c>
      <c r="C17" s="441">
        <f>'Задание на ТРУМПФ'!F17</f>
        <v>0</v>
      </c>
      <c r="D17" s="426" t="str">
        <f>'Задание на ТРУМПФ'!G17</f>
        <v>-х  -</v>
      </c>
      <c r="E17" s="469"/>
      <c r="F17" s="469" t="str">
        <f>IF('Исходные данные'!K26=1,"ВГ 199.01.00.001",IF('Исходные данные'!K26=2,"ВГ 199.01.00.008","---"))</f>
        <v>---</v>
      </c>
      <c r="G17" s="469" t="str">
        <f>IF('Исходные данные'!K26=1,"ВГ 199.01.00.002",IF('Исходные данные'!K26=2,"ВГ 199.01.00.007","---"))</f>
        <v>---</v>
      </c>
      <c r="H17" s="448" t="str">
        <f>CONCATENATE('Исходные данные'!I26,"х",'Исходные данные'!J26)</f>
        <v>х</v>
      </c>
      <c r="I17" s="449"/>
      <c r="J17" s="449"/>
      <c r="K17" s="449">
        <f>'Исходные данные'!U26</f>
        <v>0</v>
      </c>
      <c r="L17" s="449">
        <f t="shared" si="0"/>
        <v>0</v>
      </c>
      <c r="M17" s="467">
        <f>IF('Исходные данные'!K26=2,('Исходные данные'!I26-24)/'Исходные данные'!AG26-8.7,IF('Исходные данные'!K26=1,'Исходные данные'!I26/'Исходные данные'!AF26-14,0))</f>
        <v>0</v>
      </c>
      <c r="N17" s="467">
        <f>IF('Исходные данные'!K26=2,'Исходные данные'!J26-32,IF('Исходные данные'!K26=1,'Исходные данные'!J26-11,0))</f>
        <v>0</v>
      </c>
      <c r="O17" s="449">
        <f t="shared" si="1"/>
        <v>0</v>
      </c>
      <c r="P17" s="449">
        <f t="shared" si="2"/>
        <v>0</v>
      </c>
      <c r="Q17" s="449">
        <f>IF('Исходные данные'!K26=1,'Исходные данные'!AF26*'Исходные данные'!U26,IF('Исходные данные'!K26=2,'Исходные данные'!AG26*'Исходные данные'!U26,0))</f>
        <v>0</v>
      </c>
      <c r="R17" s="449">
        <f>IF('Исходные данные'!J26&lt;399,30,IF('Исходные данные'!J26&lt;401,95,IF('Исходные данные'!J26&gt;=450,135,0)))</f>
        <v>30</v>
      </c>
      <c r="S17" s="449">
        <f>'Задание на гибку'!AE17</f>
        <v>0</v>
      </c>
      <c r="T17" s="449">
        <f>IF('Комплектовочный лист'!E27&lt;400,30,IF('Комплектовочный лист'!E27&lt;450,95,IF('Комплектовочный лист'!E27&lt;=1200,135,0)))</f>
        <v>30</v>
      </c>
      <c r="U17" s="449">
        <f>'Задание на гибку'!AG17</f>
        <v>0</v>
      </c>
      <c r="V17" s="449">
        <f t="shared" si="3"/>
        <v>0</v>
      </c>
      <c r="W17" s="448">
        <f>'Задание на гибку'!AH17</f>
        <v>0</v>
      </c>
      <c r="X17" s="448">
        <f>'Задание на гибку'!AI17</f>
        <v>0</v>
      </c>
      <c r="Y17" s="448">
        <f t="shared" si="4"/>
        <v>0</v>
      </c>
      <c r="Z17" s="446">
        <f>'Задание на ТРУМПФ'!AK17</f>
        <v>0</v>
      </c>
      <c r="AA17" s="446">
        <f>'Задание на ТРУМПФ'!AL17</f>
        <v>0</v>
      </c>
      <c r="AB17" s="448">
        <f>'Задание на ТРУМПФ'!U17</f>
        <v>0</v>
      </c>
      <c r="AC17" s="448">
        <f>'Задание на ТРУМПФ'!W17</f>
        <v>0</v>
      </c>
      <c r="AD17" s="449">
        <f t="shared" si="5"/>
        <v>0</v>
      </c>
      <c r="AE17" s="449">
        <f>'Задание на гибку'!X17</f>
        <v>0</v>
      </c>
      <c r="AF17" s="449">
        <f>IF('Задание на гибку'!Y17&gt;0,'Исходные данные'!U26,0)</f>
        <v>0</v>
      </c>
      <c r="AG17" s="449" t="str">
        <f>CONCATENATE('Задание на гибку'!Z17,"х",'Задание на гибку'!AB17)</f>
        <v>0х0</v>
      </c>
      <c r="AH17" s="449" t="str">
        <f>CONCATENATE('Задание на гибку'!AA17,"х",'Задание на гибку'!AC17)</f>
        <v>0х0</v>
      </c>
      <c r="AI17" s="462">
        <f>'Задание на ТРУМПФ'!AM17</f>
        <v>0</v>
      </c>
      <c r="AJ17" s="463">
        <f>'Задание на ТРУМПФ'!AN17</f>
        <v>0</v>
      </c>
      <c r="AK17" s="735"/>
    </row>
    <row r="18" spans="1:37" ht="33" customHeight="1" thickBot="1">
      <c r="A18" s="607"/>
      <c r="B18" s="444">
        <f t="shared" si="6"/>
        <v>12</v>
      </c>
      <c r="C18" s="441">
        <f>'Задание на ТРУМПФ'!F18</f>
        <v>0</v>
      </c>
      <c r="D18" s="426" t="str">
        <f>'Задание на ТРУМПФ'!G18</f>
        <v>-х  -</v>
      </c>
      <c r="E18" s="469"/>
      <c r="F18" s="469" t="str">
        <f>IF('Исходные данные'!K27=1,"ВГ 199.01.00.001",IF('Исходные данные'!K27=2,"ВГ 199.01.00.008","---"))</f>
        <v>---</v>
      </c>
      <c r="G18" s="469" t="str">
        <f>IF('Исходные данные'!K27=1,"ВГ 199.01.00.002",IF('Исходные данные'!K27=2,"ВГ 199.01.00.007","---"))</f>
        <v>---</v>
      </c>
      <c r="H18" s="448" t="str">
        <f>CONCATENATE('Исходные данные'!I27,"х",'Исходные данные'!J27)</f>
        <v>х</v>
      </c>
      <c r="I18" s="449"/>
      <c r="J18" s="449"/>
      <c r="K18" s="449">
        <f>'Исходные данные'!U27</f>
        <v>0</v>
      </c>
      <c r="L18" s="449">
        <f t="shared" si="0"/>
        <v>0</v>
      </c>
      <c r="M18" s="467">
        <f>IF('Исходные данные'!K27=2,('Исходные данные'!I27-24)/'Исходные данные'!AG27-8.7,IF('Исходные данные'!K27=1,'Исходные данные'!I27/'Исходные данные'!AF27-14,0))</f>
        <v>0</v>
      </c>
      <c r="N18" s="467">
        <f>IF('Исходные данные'!K27=2,'Исходные данные'!J27-32,IF('Исходные данные'!K27=1,'Исходные данные'!J27-11,0))</f>
        <v>0</v>
      </c>
      <c r="O18" s="449">
        <f t="shared" si="1"/>
        <v>0</v>
      </c>
      <c r="P18" s="449">
        <f t="shared" si="2"/>
        <v>0</v>
      </c>
      <c r="Q18" s="449">
        <f>IF('Исходные данные'!K27=1,'Исходные данные'!AF27*'Исходные данные'!U27,IF('Исходные данные'!K27=2,'Исходные данные'!AG27*'Исходные данные'!U27,0))</f>
        <v>0</v>
      </c>
      <c r="R18" s="449">
        <f>IF('Исходные данные'!J27&lt;399,30,IF('Исходные данные'!J27&lt;401,95,IF('Исходные данные'!J27&gt;=450,135,0)))</f>
        <v>30</v>
      </c>
      <c r="S18" s="449">
        <f>'Задание на гибку'!AE18</f>
        <v>0</v>
      </c>
      <c r="T18" s="449" t="e">
        <f>IF('Комплектовочный лист'!#REF!&lt;400,30,IF('Комплектовочный лист'!#REF!&lt;450,95,IF('Комплектовочный лист'!#REF!&lt;=1200,135,0)))</f>
        <v>#REF!</v>
      </c>
      <c r="U18" s="449">
        <f>'Задание на гибку'!AG18</f>
        <v>0</v>
      </c>
      <c r="V18" s="449">
        <f t="shared" si="3"/>
        <v>0</v>
      </c>
      <c r="W18" s="448">
        <f>'Задание на гибку'!AH18</f>
        <v>0</v>
      </c>
      <c r="X18" s="448">
        <f>'Задание на гибку'!AI18</f>
        <v>0</v>
      </c>
      <c r="Y18" s="448">
        <f t="shared" si="4"/>
        <v>0</v>
      </c>
      <c r="Z18" s="446">
        <f>'Задание на ТРУМПФ'!AK18</f>
        <v>0</v>
      </c>
      <c r="AA18" s="446">
        <f>'Задание на ТРУМПФ'!AL18</f>
        <v>0</v>
      </c>
      <c r="AB18" s="448">
        <f>'Задание на ТРУМПФ'!U18</f>
        <v>0</v>
      </c>
      <c r="AC18" s="448">
        <f>'Задание на ТРУМПФ'!W18</f>
        <v>0</v>
      </c>
      <c r="AD18" s="449">
        <f t="shared" si="5"/>
        <v>0</v>
      </c>
      <c r="AE18" s="449">
        <f>'Задание на гибку'!X18</f>
        <v>0</v>
      </c>
      <c r="AF18" s="449">
        <f>IF('Задание на гибку'!Y18&gt;0,'Исходные данные'!U27,0)</f>
        <v>0</v>
      </c>
      <c r="AG18" s="449" t="str">
        <f>CONCATENATE('Задание на гибку'!Z18,"х",'Задание на гибку'!AB18)</f>
        <v>0х0</v>
      </c>
      <c r="AH18" s="449" t="str">
        <f>CONCATENATE('Задание на гибку'!AA18,"х",'Задание на гибку'!AC18)</f>
        <v>0х0</v>
      </c>
      <c r="AI18" s="462">
        <f>'Задание на ТРУМПФ'!AM18</f>
        <v>0</v>
      </c>
      <c r="AJ18" s="463">
        <f>'Задание на ТРУМПФ'!AN18</f>
        <v>0</v>
      </c>
      <c r="AK18" s="735"/>
    </row>
    <row r="19" spans="1:37" ht="33" customHeight="1" thickBot="1">
      <c r="A19" s="607"/>
      <c r="B19" s="444">
        <f t="shared" si="6"/>
        <v>13</v>
      </c>
      <c r="C19" s="441">
        <f>'Задание на ТРУМПФ'!F19</f>
        <v>0</v>
      </c>
      <c r="D19" s="426" t="str">
        <f>'Задание на ТРУМПФ'!G19</f>
        <v>-х  -</v>
      </c>
      <c r="E19" s="469"/>
      <c r="F19" s="469" t="str">
        <f>IF('Исходные данные'!K28=1,"ВГ 199.01.00.001",IF('Исходные данные'!K28=2,"ВГ 199.01.00.008","---"))</f>
        <v>---</v>
      </c>
      <c r="G19" s="469" t="str">
        <f>IF('Исходные данные'!K28=1,"ВГ 199.01.00.002",IF('Исходные данные'!K28=2,"ВГ 199.01.00.007","---"))</f>
        <v>---</v>
      </c>
      <c r="H19" s="448" t="str">
        <f>CONCATENATE('Исходные данные'!I28,"х",'Исходные данные'!J28)</f>
        <v>х</v>
      </c>
      <c r="I19" s="449"/>
      <c r="J19" s="449"/>
      <c r="K19" s="449">
        <f>'Исходные данные'!U28</f>
        <v>0</v>
      </c>
      <c r="L19" s="449">
        <f t="shared" si="0"/>
        <v>0</v>
      </c>
      <c r="M19" s="467">
        <f>IF('Исходные данные'!K28=2,('Исходные данные'!I28-24)/'Исходные данные'!AG28-8.7,IF('Исходные данные'!K28=1,'Исходные данные'!I28/'Исходные данные'!AF28-14,0))</f>
        <v>0</v>
      </c>
      <c r="N19" s="467">
        <f>IF('Исходные данные'!K28=2,'Исходные данные'!J28-32,IF('Исходные данные'!K28=1,'Исходные данные'!J28-11,0))</f>
        <v>0</v>
      </c>
      <c r="O19" s="449">
        <f t="shared" si="1"/>
        <v>0</v>
      </c>
      <c r="P19" s="449">
        <f t="shared" si="2"/>
        <v>0</v>
      </c>
      <c r="Q19" s="449">
        <f>IF('Исходные данные'!K28=1,'Исходные данные'!AF28*'Исходные данные'!U28,IF('Исходные данные'!K28=2,'Исходные данные'!AG28*'Исходные данные'!U28,0))</f>
        <v>0</v>
      </c>
      <c r="R19" s="449">
        <f>IF('Исходные данные'!J28&lt;399,30,IF('Исходные данные'!J28&lt;401,95,IF('Исходные данные'!J28&gt;=450,135,0)))</f>
        <v>30</v>
      </c>
      <c r="S19" s="449">
        <f>'Задание на гибку'!AE19</f>
        <v>0</v>
      </c>
      <c r="T19" s="449">
        <f>IF('Комплектовочный лист'!E28&lt;400,30,IF('Комплектовочный лист'!E28&lt;450,95,IF('Комплектовочный лист'!E28&lt;=1200,135,0)))</f>
        <v>30</v>
      </c>
      <c r="U19" s="449">
        <f>'Задание на гибку'!AG19</f>
        <v>0</v>
      </c>
      <c r="V19" s="449">
        <f t="shared" si="3"/>
        <v>0</v>
      </c>
      <c r="W19" s="448">
        <f>'Задание на гибку'!AH19</f>
        <v>0</v>
      </c>
      <c r="X19" s="448">
        <f>'Задание на гибку'!AI19</f>
        <v>0</v>
      </c>
      <c r="Y19" s="448">
        <f t="shared" si="4"/>
        <v>0</v>
      </c>
      <c r="Z19" s="446">
        <f>'Задание на ТРУМПФ'!AK19</f>
        <v>0</v>
      </c>
      <c r="AA19" s="446">
        <f>'Задание на ТРУМПФ'!AL19</f>
        <v>0</v>
      </c>
      <c r="AB19" s="448">
        <f>'Задание на ТРУМПФ'!U19</f>
        <v>0</v>
      </c>
      <c r="AC19" s="448">
        <f>'Задание на ТРУМПФ'!W19</f>
        <v>0</v>
      </c>
      <c r="AD19" s="449">
        <f t="shared" si="5"/>
        <v>0</v>
      </c>
      <c r="AE19" s="449">
        <f>'Задание на гибку'!X19</f>
        <v>0</v>
      </c>
      <c r="AF19" s="449">
        <f>IF('Задание на гибку'!Y19&gt;0,'Исходные данные'!U28,0)</f>
        <v>0</v>
      </c>
      <c r="AG19" s="449" t="str">
        <f>CONCATENATE('Задание на гибку'!Z19,"х",'Задание на гибку'!AB19)</f>
        <v>0х0</v>
      </c>
      <c r="AH19" s="449" t="str">
        <f>CONCATENATE('Задание на гибку'!AA19,"х",'Задание на гибку'!AC19)</f>
        <v>0х0</v>
      </c>
      <c r="AI19" s="462">
        <f>'Задание на ТРУМПФ'!AM19</f>
        <v>0</v>
      </c>
      <c r="AJ19" s="463">
        <f>'Задание на ТРУМПФ'!AN19</f>
        <v>0</v>
      </c>
      <c r="AK19" s="735"/>
    </row>
    <row r="20" spans="1:37" ht="33" customHeight="1" thickBot="1">
      <c r="A20" s="607"/>
      <c r="B20" s="444">
        <f t="shared" si="6"/>
        <v>14</v>
      </c>
      <c r="C20" s="441">
        <f>'Задание на ТРУМПФ'!F20</f>
        <v>0</v>
      </c>
      <c r="D20" s="426" t="str">
        <f>'Задание на ТРУМПФ'!G20</f>
        <v>-х  -</v>
      </c>
      <c r="E20" s="469"/>
      <c r="F20" s="469" t="str">
        <f>IF('Исходные данные'!K29=1,"ВГ 199.01.00.001",IF('Исходные данные'!K29=2,"ВГ 199.01.00.008","---"))</f>
        <v>---</v>
      </c>
      <c r="G20" s="469" t="str">
        <f>IF('Исходные данные'!K29=1,"ВГ 199.01.00.002",IF('Исходные данные'!K29=2,"ВГ 199.01.00.007","---"))</f>
        <v>---</v>
      </c>
      <c r="H20" s="448" t="str">
        <f>CONCATENATE('Исходные данные'!I29,"х",'Исходные данные'!J29)</f>
        <v>х</v>
      </c>
      <c r="I20" s="449"/>
      <c r="J20" s="449"/>
      <c r="K20" s="449">
        <f>'Исходные данные'!U29</f>
        <v>0</v>
      </c>
      <c r="L20" s="449">
        <f t="shared" si="0"/>
        <v>0</v>
      </c>
      <c r="M20" s="467">
        <f>IF('Исходные данные'!K29=2,('Исходные данные'!I29-24)/'Исходные данные'!AG29-8.7,IF('Исходные данные'!K29=1,'Исходные данные'!I29/'Исходные данные'!AF29-14,0))</f>
        <v>0</v>
      </c>
      <c r="N20" s="467">
        <f>IF('Исходные данные'!K29=2,'Исходные данные'!J29-32,IF('Исходные данные'!K29=1,'Исходные данные'!J29-11,0))</f>
        <v>0</v>
      </c>
      <c r="O20" s="449">
        <f t="shared" si="1"/>
        <v>0</v>
      </c>
      <c r="P20" s="449">
        <f t="shared" si="2"/>
        <v>0</v>
      </c>
      <c r="Q20" s="449">
        <f>IF('Исходные данные'!K29=1,'Исходные данные'!AF29*'Исходные данные'!U29,IF('Исходные данные'!K29=2,'Исходные данные'!AG29*'Исходные данные'!U29,0))</f>
        <v>0</v>
      </c>
      <c r="R20" s="449">
        <f>IF('Исходные данные'!J29&lt;399,30,IF('Исходные данные'!J29&lt;401,95,IF('Исходные данные'!J29&gt;=450,135,0)))</f>
        <v>30</v>
      </c>
      <c r="S20" s="449">
        <f>'Задание на гибку'!AE20</f>
        <v>0</v>
      </c>
      <c r="T20" s="449">
        <f>IF('Комплектовочный лист'!E29&lt;400,30,IF('Комплектовочный лист'!E29&lt;450,95,IF('Комплектовочный лист'!E29&lt;=1200,135,0)))</f>
        <v>30</v>
      </c>
      <c r="U20" s="449">
        <f>'Задание на гибку'!AG20</f>
        <v>0</v>
      </c>
      <c r="V20" s="449">
        <f t="shared" si="3"/>
        <v>0</v>
      </c>
      <c r="W20" s="448">
        <f>'Задание на гибку'!AH20</f>
        <v>0</v>
      </c>
      <c r="X20" s="448">
        <f>'Задание на гибку'!AI20</f>
        <v>0</v>
      </c>
      <c r="Y20" s="448">
        <f t="shared" si="4"/>
        <v>0</v>
      </c>
      <c r="Z20" s="446">
        <f>'Задание на ТРУМПФ'!AK20</f>
        <v>0</v>
      </c>
      <c r="AA20" s="446">
        <f>'Задание на ТРУМПФ'!AL20</f>
        <v>0</v>
      </c>
      <c r="AB20" s="448">
        <f>'Задание на ТРУМПФ'!U20</f>
        <v>0</v>
      </c>
      <c r="AC20" s="448">
        <f>'Задание на ТРУМПФ'!W20</f>
        <v>0</v>
      </c>
      <c r="AD20" s="449">
        <f t="shared" si="5"/>
        <v>0</v>
      </c>
      <c r="AE20" s="449">
        <f>'Задание на гибку'!X20</f>
        <v>0</v>
      </c>
      <c r="AF20" s="449">
        <f>IF('Задание на гибку'!Y20&gt;0,'Исходные данные'!U29,0)</f>
        <v>0</v>
      </c>
      <c r="AG20" s="449" t="str">
        <f>CONCATENATE('Задание на гибку'!Z20,"х",'Задание на гибку'!AB20)</f>
        <v>0х0</v>
      </c>
      <c r="AH20" s="449" t="str">
        <f>CONCATENATE('Задание на гибку'!AA20,"х",'Задание на гибку'!AC20)</f>
        <v>0х0</v>
      </c>
      <c r="AI20" s="462">
        <f>'Задание на ТРУМПФ'!AM20</f>
        <v>0</v>
      </c>
      <c r="AJ20" s="463">
        <f>'Задание на ТРУМПФ'!AN20</f>
        <v>0</v>
      </c>
      <c r="AK20" s="735"/>
    </row>
    <row r="21" spans="1:37" ht="33" customHeight="1" thickBot="1">
      <c r="A21" s="607"/>
      <c r="B21" s="445">
        <f t="shared" si="6"/>
        <v>15</v>
      </c>
      <c r="C21" s="442">
        <f>'Задание на ТРУМПФ'!F21</f>
        <v>0</v>
      </c>
      <c r="D21" s="427" t="str">
        <f>'Задание на ТРУМПФ'!G21</f>
        <v>-х  -</v>
      </c>
      <c r="E21" s="267"/>
      <c r="F21" s="267" t="str">
        <f>IF('Исходные данные'!K30=1,"ВГ 199.01.00.001",IF('Исходные данные'!K30=2,"ВГ 199.01.00.008","---"))</f>
        <v>---</v>
      </c>
      <c r="G21" s="267" t="str">
        <f>IF('Исходные данные'!K30=1,"ВГ 199.01.00.002",IF('Исходные данные'!K30=2,"ВГ 199.01.00.007","---"))</f>
        <v>---</v>
      </c>
      <c r="H21" s="450" t="str">
        <f>CONCATENATE('Исходные данные'!I30,"х",'Исходные данные'!J30)</f>
        <v>х</v>
      </c>
      <c r="I21" s="451"/>
      <c r="J21" s="451"/>
      <c r="K21" s="451">
        <f>'Исходные данные'!U30</f>
        <v>0</v>
      </c>
      <c r="L21" s="451">
        <f t="shared" si="0"/>
        <v>0</v>
      </c>
      <c r="M21" s="468">
        <f>IF('Исходные данные'!K30=2,('Исходные данные'!I30-24)/'Исходные данные'!AG30-8.7,IF('Исходные данные'!K30=1,'Исходные данные'!I30/'Исходные данные'!AF30-14,0))</f>
        <v>0</v>
      </c>
      <c r="N21" s="468">
        <f>IF('Исходные данные'!K30=2,'Исходные данные'!J30-32,IF('Исходные данные'!K30=1,'Исходные данные'!J30-11,0))</f>
        <v>0</v>
      </c>
      <c r="O21" s="451">
        <f t="shared" si="1"/>
        <v>0</v>
      </c>
      <c r="P21" s="451">
        <f t="shared" si="2"/>
        <v>0</v>
      </c>
      <c r="Q21" s="451">
        <f>IF('Исходные данные'!K30=1,'Исходные данные'!AF30*'Исходные данные'!U30,IF('Исходные данные'!K30=2,'Исходные данные'!AG30*'Исходные данные'!U30,0))</f>
        <v>0</v>
      </c>
      <c r="R21" s="451">
        <f>IF('Исходные данные'!J30&lt;399,30,IF('Исходные данные'!J30&lt;401,95,IF('Исходные данные'!J30&gt;=450,135,0)))</f>
        <v>30</v>
      </c>
      <c r="S21" s="451">
        <f>'Задание на гибку'!AE21</f>
        <v>0</v>
      </c>
      <c r="T21" s="451">
        <f>IF('Комплектовочный лист'!E30&lt;400,30,IF('Комплектовочный лист'!E30&lt;450,95,IF('Комплектовочный лист'!E30&lt;=1200,135,0)))</f>
        <v>30</v>
      </c>
      <c r="U21" s="451">
        <f>'Задание на гибку'!AG21</f>
        <v>0</v>
      </c>
      <c r="V21" s="451">
        <f t="shared" si="3"/>
        <v>0</v>
      </c>
      <c r="W21" s="450">
        <f>'Задание на гибку'!AH21</f>
        <v>0</v>
      </c>
      <c r="X21" s="450">
        <f>'Задание на гибку'!AI21</f>
        <v>0</v>
      </c>
      <c r="Y21" s="450">
        <f t="shared" si="4"/>
        <v>0</v>
      </c>
      <c r="Z21" s="446">
        <f>'Задание на ТРУМПФ'!AK21</f>
        <v>0</v>
      </c>
      <c r="AA21" s="446">
        <f>'Задание на ТРУМПФ'!AL21</f>
        <v>0</v>
      </c>
      <c r="AB21" s="450">
        <f>'Задание на ТРУМПФ'!U21</f>
        <v>0</v>
      </c>
      <c r="AC21" s="450">
        <f>'Задание на ТРУМПФ'!W21</f>
        <v>0</v>
      </c>
      <c r="AD21" s="451">
        <f t="shared" si="5"/>
        <v>0</v>
      </c>
      <c r="AE21" s="451">
        <f>'Задание на гибку'!X21</f>
        <v>0</v>
      </c>
      <c r="AF21" s="451">
        <f>IF('Задание на гибку'!Y21&gt;0,'Исходные данные'!U30,0)</f>
        <v>0</v>
      </c>
      <c r="AG21" s="451" t="str">
        <f>CONCATENATE('Задание на гибку'!Z21,"х",'Задание на гибку'!AB21)</f>
        <v>0х0</v>
      </c>
      <c r="AH21" s="451" t="str">
        <f>CONCATENATE('Задание на гибку'!AA21,"х",'Задание на гибку'!AC21)</f>
        <v>0х0</v>
      </c>
      <c r="AI21" s="464">
        <f>'Задание на ТРУМПФ'!AM21</f>
        <v>0</v>
      </c>
      <c r="AJ21" s="465">
        <f>'Задание на ТРУМПФ'!AN21</f>
        <v>0</v>
      </c>
      <c r="AK21" s="735"/>
    </row>
    <row r="22" spans="1:37" ht="18.75" hidden="1" customHeight="1">
      <c r="A22" s="607"/>
      <c r="B22" s="253">
        <f t="shared" si="6"/>
        <v>16</v>
      </c>
      <c r="C22" s="174"/>
      <c r="D22" s="174"/>
      <c r="E22" s="174"/>
      <c r="F22" s="174"/>
      <c r="G22" s="174"/>
      <c r="H22" s="117"/>
      <c r="I22" s="118"/>
      <c r="J22" s="118"/>
      <c r="K22" s="154" t="e">
        <f>'Задание на ТРУМПФ'!M22</f>
        <v>#REF!</v>
      </c>
      <c r="L22" s="154" t="e">
        <f>'Задание на гибку'!#REF!</f>
        <v>#REF!</v>
      </c>
      <c r="M22" s="118"/>
      <c r="N22" s="118"/>
      <c r="O22" s="118"/>
      <c r="P22" s="118"/>
      <c r="Q22" s="119">
        <f t="shared" ref="Q22:Q27" si="7">H22-3</f>
        <v>-3</v>
      </c>
      <c r="R22" s="120"/>
      <c r="S22" s="120"/>
      <c r="T22" s="120"/>
      <c r="U22" s="121"/>
      <c r="V22" s="119" t="e">
        <f>'Задание на гибку'!#REF!</f>
        <v>#REF!</v>
      </c>
      <c r="W22" s="121"/>
      <c r="X22" s="121"/>
      <c r="Y22" s="121"/>
      <c r="Z22" s="121"/>
      <c r="AA22" s="121"/>
      <c r="AB22" s="352"/>
      <c r="AC22" s="352"/>
      <c r="AD22" s="352"/>
      <c r="AE22" s="119" t="e">
        <f>'Задание на гибку'!#REF!</f>
        <v>#REF!</v>
      </c>
      <c r="AF22" s="119" t="e">
        <f>'Задание на гибку'!#REF!</f>
        <v>#REF!</v>
      </c>
      <c r="AG22" s="119" t="e">
        <f>CONCATENATE('Задание на гибку'!#REF!,"х",'Задание на гибку'!#REF!)</f>
        <v>#REF!</v>
      </c>
      <c r="AH22" s="119" t="e">
        <f>'Задание на гибку'!#REF!+'Задание на гибку'!#REF!</f>
        <v>#REF!</v>
      </c>
    </row>
    <row r="23" spans="1:37" ht="18.75" hidden="1" customHeight="1">
      <c r="A23" s="607"/>
      <c r="B23" s="116">
        <f t="shared" si="6"/>
        <v>17</v>
      </c>
      <c r="C23" s="4"/>
      <c r="D23" s="4"/>
      <c r="E23" s="4"/>
      <c r="F23" s="4"/>
      <c r="G23" s="4"/>
      <c r="H23" s="122"/>
      <c r="I23" s="123"/>
      <c r="J23" s="123"/>
      <c r="K23" s="266">
        <f>'Задание на ТРУМПФ'!M23</f>
        <v>0</v>
      </c>
      <c r="L23" s="266" t="e">
        <f>'Задание на гибку'!#REF!</f>
        <v>#REF!</v>
      </c>
      <c r="M23" s="123"/>
      <c r="N23" s="123"/>
      <c r="O23" s="123"/>
      <c r="P23" s="123"/>
      <c r="Q23" s="265">
        <f t="shared" si="7"/>
        <v>-3</v>
      </c>
      <c r="R23" s="329"/>
      <c r="S23" s="329"/>
      <c r="T23" s="329"/>
      <c r="U23" s="124"/>
      <c r="V23" s="265" t="e">
        <f>'Задание на гибку'!#REF!</f>
        <v>#REF!</v>
      </c>
      <c r="W23" s="124"/>
      <c r="X23" s="124"/>
      <c r="Y23" s="124"/>
      <c r="Z23" s="124"/>
      <c r="AA23" s="124"/>
      <c r="AB23" s="332"/>
      <c r="AC23" s="332"/>
      <c r="AD23" s="332"/>
      <c r="AE23" s="265" t="e">
        <f>'Задание на гибку'!#REF!</f>
        <v>#REF!</v>
      </c>
      <c r="AF23" s="265" t="e">
        <f>'Задание на гибку'!#REF!</f>
        <v>#REF!</v>
      </c>
      <c r="AG23" s="265" t="e">
        <f>CONCATENATE('Задание на гибку'!#REF!,"х",'Задание на гибку'!#REF!)</f>
        <v>#REF!</v>
      </c>
      <c r="AH23" s="265" t="e">
        <f>'Задание на гибку'!#REF!+'Задание на гибку'!#REF!</f>
        <v>#REF!</v>
      </c>
    </row>
    <row r="24" spans="1:37" ht="18.75" hidden="1" customHeight="1">
      <c r="A24" s="607"/>
      <c r="B24" s="116">
        <f t="shared" si="6"/>
        <v>18</v>
      </c>
      <c r="C24" s="4"/>
      <c r="D24" s="4"/>
      <c r="E24" s="4"/>
      <c r="F24" s="4"/>
      <c r="G24" s="4"/>
      <c r="H24" s="122"/>
      <c r="I24" s="123"/>
      <c r="J24" s="123"/>
      <c r="K24" s="266">
        <f>'Задание на ТРУМПФ'!M24</f>
        <v>0</v>
      </c>
      <c r="L24" s="266" t="e">
        <f>'Задание на гибку'!#REF!</f>
        <v>#REF!</v>
      </c>
      <c r="M24" s="123"/>
      <c r="N24" s="123"/>
      <c r="O24" s="123"/>
      <c r="P24" s="123"/>
      <c r="Q24" s="265">
        <f t="shared" si="7"/>
        <v>-3</v>
      </c>
      <c r="R24" s="329"/>
      <c r="S24" s="329"/>
      <c r="T24" s="329"/>
      <c r="U24" s="124"/>
      <c r="V24" s="265" t="e">
        <f>'Задание на гибку'!#REF!</f>
        <v>#REF!</v>
      </c>
      <c r="W24" s="124"/>
      <c r="X24" s="124"/>
      <c r="Y24" s="124"/>
      <c r="Z24" s="124"/>
      <c r="AA24" s="124"/>
      <c r="AB24" s="332"/>
      <c r="AC24" s="332"/>
      <c r="AD24" s="332"/>
      <c r="AE24" s="265" t="e">
        <f>'Задание на гибку'!#REF!</f>
        <v>#REF!</v>
      </c>
      <c r="AF24" s="265" t="e">
        <f>'Задание на гибку'!#REF!</f>
        <v>#REF!</v>
      </c>
      <c r="AG24" s="265" t="e">
        <f>CONCATENATE('Задание на гибку'!#REF!,"х",'Задание на гибку'!#REF!)</f>
        <v>#REF!</v>
      </c>
      <c r="AH24" s="265" t="e">
        <f>'Задание на гибку'!#REF!+'Задание на гибку'!#REF!</f>
        <v>#REF!</v>
      </c>
    </row>
    <row r="25" spans="1:37" ht="18.75" hidden="1" customHeight="1">
      <c r="A25" s="607"/>
      <c r="B25" s="116">
        <f>B24+1</f>
        <v>19</v>
      </c>
      <c r="C25" s="4"/>
      <c r="D25" s="4"/>
      <c r="E25" s="4"/>
      <c r="F25" s="4"/>
      <c r="G25" s="4"/>
      <c r="H25" s="122"/>
      <c r="I25" s="123"/>
      <c r="J25" s="123"/>
      <c r="K25" s="266">
        <f>'Задание на ТРУМПФ'!M25</f>
        <v>0</v>
      </c>
      <c r="L25" s="266" t="e">
        <f>'Задание на гибку'!#REF!</f>
        <v>#REF!</v>
      </c>
      <c r="M25" s="123"/>
      <c r="N25" s="123"/>
      <c r="O25" s="123"/>
      <c r="P25" s="123"/>
      <c r="Q25" s="265">
        <f t="shared" si="7"/>
        <v>-3</v>
      </c>
      <c r="R25" s="329"/>
      <c r="S25" s="329"/>
      <c r="T25" s="329"/>
      <c r="U25" s="124"/>
      <c r="V25" s="265" t="e">
        <f>'Задание на гибку'!#REF!</f>
        <v>#REF!</v>
      </c>
      <c r="W25" s="124"/>
      <c r="X25" s="124"/>
      <c r="Y25" s="124"/>
      <c r="Z25" s="124"/>
      <c r="AA25" s="124"/>
      <c r="AB25" s="332"/>
      <c r="AC25" s="332"/>
      <c r="AD25" s="332"/>
      <c r="AE25" s="265" t="e">
        <f>'Задание на гибку'!#REF!</f>
        <v>#REF!</v>
      </c>
      <c r="AF25" s="265" t="e">
        <f>'Задание на гибку'!#REF!</f>
        <v>#REF!</v>
      </c>
      <c r="AG25" s="265" t="e">
        <f>CONCATENATE('Задание на гибку'!#REF!,"х",'Задание на гибку'!#REF!)</f>
        <v>#REF!</v>
      </c>
      <c r="AH25" s="265" t="e">
        <f>'Задание на гибку'!#REF!+'Задание на гибку'!#REF!</f>
        <v>#REF!</v>
      </c>
    </row>
    <row r="26" spans="1:37" ht="18.75" hidden="1" customHeight="1">
      <c r="A26" s="607"/>
      <c r="B26" s="116">
        <f>B25+1</f>
        <v>20</v>
      </c>
      <c r="C26" s="4"/>
      <c r="D26" s="4"/>
      <c r="E26" s="4"/>
      <c r="F26" s="4"/>
      <c r="G26" s="4"/>
      <c r="H26" s="122"/>
      <c r="I26" s="123"/>
      <c r="J26" s="123"/>
      <c r="K26" s="266">
        <f>'Задание на ТРУМПФ'!M26</f>
        <v>0</v>
      </c>
      <c r="L26" s="266" t="e">
        <f>'Задание на гибку'!#REF!</f>
        <v>#REF!</v>
      </c>
      <c r="M26" s="123"/>
      <c r="N26" s="123"/>
      <c r="O26" s="123"/>
      <c r="P26" s="123"/>
      <c r="Q26" s="265">
        <f t="shared" si="7"/>
        <v>-3</v>
      </c>
      <c r="R26" s="329"/>
      <c r="S26" s="329"/>
      <c r="T26" s="329"/>
      <c r="U26" s="124"/>
      <c r="V26" s="265" t="e">
        <f>'Задание на гибку'!#REF!</f>
        <v>#REF!</v>
      </c>
      <c r="W26" s="124"/>
      <c r="X26" s="124"/>
      <c r="Y26" s="124"/>
      <c r="Z26" s="124"/>
      <c r="AA26" s="124"/>
      <c r="AB26" s="332"/>
      <c r="AC26" s="332"/>
      <c r="AD26" s="332"/>
      <c r="AE26" s="265" t="e">
        <f>'Задание на гибку'!#REF!</f>
        <v>#REF!</v>
      </c>
      <c r="AF26" s="265" t="e">
        <f>'Задание на гибку'!#REF!</f>
        <v>#REF!</v>
      </c>
      <c r="AG26" s="265" t="e">
        <f>CONCATENATE('Задание на гибку'!#REF!,"х",'Задание на гибку'!#REF!)</f>
        <v>#REF!</v>
      </c>
      <c r="AH26" s="265" t="e">
        <f>'Задание на гибку'!#REF!+'Задание на гибку'!#REF!</f>
        <v>#REF!</v>
      </c>
    </row>
    <row r="27" spans="1:37" ht="19.5" hidden="1" customHeight="1" thickBot="1">
      <c r="A27" s="607"/>
      <c r="B27" s="116">
        <f>B26+1</f>
        <v>21</v>
      </c>
      <c r="C27" s="4"/>
      <c r="D27" s="4"/>
      <c r="E27" s="4"/>
      <c r="F27" s="4"/>
      <c r="G27" s="4"/>
      <c r="H27" s="122"/>
      <c r="I27" s="123"/>
      <c r="J27" s="123"/>
      <c r="K27" s="266">
        <f>'Задание на ТРУМПФ'!M27</f>
        <v>0</v>
      </c>
      <c r="L27" s="266" t="e">
        <f>'Задание на гибку'!#REF!</f>
        <v>#REF!</v>
      </c>
      <c r="M27" s="123"/>
      <c r="N27" s="123"/>
      <c r="O27" s="123"/>
      <c r="P27" s="123"/>
      <c r="Q27" s="265">
        <f t="shared" si="7"/>
        <v>-3</v>
      </c>
      <c r="R27" s="329"/>
      <c r="S27" s="329"/>
      <c r="T27" s="329"/>
      <c r="U27" s="124"/>
      <c r="V27" s="265" t="e">
        <f>'Задание на гибку'!#REF!</f>
        <v>#REF!</v>
      </c>
      <c r="W27" s="124"/>
      <c r="X27" s="124"/>
      <c r="Y27" s="124"/>
      <c r="Z27" s="124"/>
      <c r="AA27" s="124"/>
      <c r="AB27" s="332"/>
      <c r="AC27" s="332"/>
      <c r="AD27" s="332"/>
      <c r="AE27" s="265" t="e">
        <f>'Задание на гибку'!#REF!</f>
        <v>#REF!</v>
      </c>
      <c r="AF27" s="265" t="e">
        <f>'Задание на гибку'!#REF!</f>
        <v>#REF!</v>
      </c>
      <c r="AG27" s="265" t="e">
        <f>CONCATENATE('Задание на гибку'!#REF!,"х",'Задание на гибку'!#REF!)</f>
        <v>#REF!</v>
      </c>
      <c r="AH27" s="265" t="e">
        <f>'Задание на гибку'!#REF!+'Задание на гибку'!#REF!</f>
        <v>#REF!</v>
      </c>
    </row>
    <row r="28" spans="1:37" ht="28.5">
      <c r="A28" s="607"/>
      <c r="B28" s="664"/>
      <c r="C28" s="664"/>
      <c r="D28" s="664"/>
      <c r="E28" s="664"/>
      <c r="F28" s="664"/>
      <c r="G28" s="664"/>
      <c r="H28" s="664"/>
      <c r="I28" s="664"/>
      <c r="J28" s="664"/>
      <c r="K28" s="664"/>
      <c r="L28" s="664"/>
      <c r="M28" s="664"/>
      <c r="N28" s="664"/>
      <c r="O28" s="664"/>
      <c r="P28" s="260"/>
      <c r="Q28" s="260"/>
      <c r="R28" s="260"/>
      <c r="S28" s="665"/>
      <c r="T28" s="665"/>
      <c r="U28" s="665"/>
      <c r="V28" s="261"/>
      <c r="W28" s="179"/>
      <c r="X28" s="133"/>
      <c r="Y28" s="133"/>
      <c r="Z28" s="133"/>
      <c r="AA28" s="179"/>
      <c r="AB28" s="386"/>
      <c r="AC28" s="386"/>
    </row>
    <row r="29" spans="1:37" ht="26.25">
      <c r="A29" s="607"/>
      <c r="B29" s="741" t="s">
        <v>198</v>
      </c>
      <c r="C29" s="741"/>
      <c r="D29" s="741"/>
      <c r="E29" s="741"/>
      <c r="F29" s="741"/>
      <c r="G29" s="741"/>
      <c r="H29" s="741"/>
      <c r="I29" s="741"/>
      <c r="J29" s="741"/>
      <c r="K29" s="741"/>
      <c r="L29" s="741"/>
      <c r="M29" s="741"/>
      <c r="N29" s="741"/>
      <c r="O29" s="741"/>
      <c r="P29" s="260"/>
      <c r="Q29" s="260"/>
      <c r="R29" s="260"/>
      <c r="S29" s="665"/>
      <c r="T29" s="665"/>
      <c r="U29" s="665"/>
      <c r="V29" s="261"/>
      <c r="W29" s="179"/>
      <c r="X29" s="133"/>
      <c r="Y29" s="133"/>
      <c r="Z29" s="133"/>
      <c r="AA29" s="179"/>
      <c r="AB29" s="386"/>
      <c r="AC29" s="386"/>
    </row>
    <row r="30" spans="1:37">
      <c r="A30" s="607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O30" s="10"/>
      <c r="P30" s="10"/>
      <c r="Q30" s="261"/>
      <c r="R30" s="261"/>
      <c r="S30" s="261"/>
      <c r="T30" s="261"/>
      <c r="W30" s="179"/>
      <c r="X30" s="133"/>
      <c r="Y30" s="133"/>
      <c r="Z30" s="133"/>
      <c r="AA30" s="179"/>
      <c r="AB30" s="386"/>
      <c r="AC30" s="386"/>
    </row>
    <row r="31" spans="1:37" ht="21">
      <c r="A31" s="607"/>
      <c r="B31" s="10"/>
      <c r="C31" s="10"/>
      <c r="D31" s="10"/>
      <c r="E31" s="10"/>
      <c r="F31" s="10"/>
      <c r="G31" s="10"/>
      <c r="H31" s="184"/>
      <c r="I31" s="185"/>
      <c r="J31" s="10"/>
      <c r="K31" s="10"/>
      <c r="L31" s="10"/>
      <c r="M31" s="10"/>
      <c r="P31" s="179"/>
      <c r="Q31" s="665"/>
      <c r="R31" s="665"/>
      <c r="S31" s="665"/>
      <c r="T31" s="665"/>
      <c r="U31" s="665"/>
      <c r="V31" s="261"/>
      <c r="W31" s="179"/>
      <c r="X31" s="133"/>
      <c r="Y31" s="133"/>
      <c r="Z31" s="133"/>
      <c r="AA31" s="179"/>
      <c r="AB31" s="386"/>
      <c r="AC31" s="386"/>
    </row>
    <row r="32" spans="1:37" ht="26.25">
      <c r="A32" s="607"/>
      <c r="B32" s="137" t="s">
        <v>199</v>
      </c>
      <c r="C32" s="10"/>
      <c r="D32" s="10"/>
      <c r="E32" s="10"/>
      <c r="F32" s="10"/>
      <c r="G32" s="10"/>
      <c r="J32" s="10"/>
      <c r="K32" s="10"/>
      <c r="L32" s="137" t="s">
        <v>200</v>
      </c>
      <c r="M32" s="10"/>
      <c r="P32" s="179"/>
      <c r="Q32" s="10"/>
      <c r="R32" s="10"/>
      <c r="S32" s="10"/>
      <c r="T32" s="10"/>
      <c r="U32" s="10"/>
      <c r="V32" s="10"/>
      <c r="W32" s="179"/>
      <c r="X32" s="133"/>
      <c r="Y32" s="133"/>
      <c r="Z32" s="133"/>
      <c r="AA32" s="179"/>
      <c r="AB32" s="386"/>
      <c r="AC32" s="386"/>
    </row>
    <row r="33" spans="1:34" ht="22.5">
      <c r="A33" s="607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62"/>
      <c r="O33" s="138"/>
      <c r="P33" s="162"/>
      <c r="Q33" s="138"/>
      <c r="R33" s="138"/>
      <c r="S33" s="138"/>
      <c r="T33" s="138"/>
      <c r="U33" s="139"/>
      <c r="V33" s="139"/>
      <c r="W33" s="179"/>
      <c r="X33" s="133"/>
      <c r="Y33" s="133"/>
      <c r="Z33" s="133"/>
      <c r="AA33" s="179"/>
      <c r="AB33" s="386"/>
      <c r="AC33" s="386"/>
    </row>
    <row r="34" spans="1:34" ht="22.5">
      <c r="A34" s="607"/>
      <c r="C34" s="138"/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8"/>
      <c r="V34" s="138"/>
      <c r="W34" s="179"/>
      <c r="X34" s="133"/>
      <c r="Y34" s="133"/>
      <c r="Z34" s="133"/>
      <c r="AA34" s="179"/>
      <c r="AB34" s="386"/>
      <c r="AC34" s="386"/>
    </row>
    <row r="35" spans="1:34" ht="26.25">
      <c r="B35" s="137" t="s">
        <v>201</v>
      </c>
      <c r="C35" s="138"/>
      <c r="D35" s="138"/>
      <c r="E35" s="139"/>
      <c r="F35" s="139"/>
      <c r="G35" s="139"/>
      <c r="H35" s="139"/>
      <c r="I35" s="139"/>
      <c r="J35" s="139"/>
      <c r="K35" s="139"/>
      <c r="L35" s="137" t="s">
        <v>305</v>
      </c>
      <c r="M35" s="139"/>
      <c r="N35" s="139"/>
      <c r="O35" s="139"/>
      <c r="P35" s="139"/>
      <c r="Q35" s="139"/>
      <c r="R35" s="139"/>
      <c r="S35" s="139"/>
      <c r="T35" s="139"/>
      <c r="U35" s="138"/>
      <c r="V35" s="138"/>
      <c r="W35" s="179"/>
      <c r="X35" s="133"/>
      <c r="Y35" s="133"/>
      <c r="Z35" s="133"/>
      <c r="AA35" s="179"/>
      <c r="AB35" s="386"/>
      <c r="AC35" s="386"/>
    </row>
    <row r="36" spans="1:34" ht="22.5">
      <c r="B36" s="10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79"/>
      <c r="X36" s="133"/>
      <c r="Y36" s="133"/>
      <c r="Z36" s="133"/>
      <c r="AA36" s="179"/>
      <c r="AB36" s="386"/>
      <c r="AC36" s="386"/>
    </row>
    <row r="37" spans="1:34" ht="22.5">
      <c r="B37" s="10"/>
      <c r="C37" s="138"/>
      <c r="D37" s="138"/>
      <c r="E37" s="138"/>
      <c r="F37" s="138"/>
      <c r="G37" s="138"/>
      <c r="H37" s="138"/>
      <c r="I37" s="138"/>
      <c r="J37" s="138"/>
      <c r="K37" s="138"/>
      <c r="L37" s="163"/>
      <c r="M37" s="138"/>
      <c r="N37" s="138"/>
      <c r="O37" s="138"/>
      <c r="Q37" s="138"/>
      <c r="R37" s="138"/>
      <c r="S37" s="138"/>
      <c r="T37" s="138"/>
      <c r="U37" s="138"/>
      <c r="V37" s="138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ht="22.5">
      <c r="B38" s="10"/>
      <c r="C38" s="138"/>
      <c r="D38" s="138"/>
      <c r="E38" s="139"/>
      <c r="F38" s="139"/>
      <c r="G38" s="139"/>
      <c r="H38" s="139"/>
      <c r="I38" s="139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ht="36">
      <c r="A39" s="135"/>
      <c r="B39" s="10"/>
      <c r="C39" s="10"/>
      <c r="E39" s="10"/>
      <c r="F39" s="10"/>
      <c r="G39" s="10"/>
      <c r="H39" s="136"/>
      <c r="I39" s="136"/>
      <c r="J39" s="136"/>
      <c r="K39" s="136"/>
      <c r="L39" s="136"/>
      <c r="M39" s="137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22.5">
      <c r="A40" s="138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8"/>
    </row>
    <row r="41" spans="1:34" ht="22.5">
      <c r="A41" s="138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8"/>
    </row>
    <row r="42" spans="1:34" ht="22.5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</row>
    <row r="43" spans="1:34" ht="22.5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40"/>
      <c r="N43" s="138"/>
      <c r="O43" s="138"/>
      <c r="P43" s="138"/>
      <c r="Q43" s="138"/>
      <c r="R43" s="138"/>
    </row>
  </sheetData>
  <mergeCells count="27">
    <mergeCell ref="AE5:AE6"/>
    <mergeCell ref="AF5:AF6"/>
    <mergeCell ref="AI5:AI6"/>
    <mergeCell ref="A17:A34"/>
    <mergeCell ref="B28:O28"/>
    <mergeCell ref="B29:O29"/>
    <mergeCell ref="K5:K6"/>
    <mergeCell ref="S29:U29"/>
    <mergeCell ref="S28:U28"/>
    <mergeCell ref="Q31:U31"/>
    <mergeCell ref="S5:U5"/>
    <mergeCell ref="AK9:AK21"/>
    <mergeCell ref="L5:L6"/>
    <mergeCell ref="M5:N5"/>
    <mergeCell ref="P5:P6"/>
    <mergeCell ref="Q5:Q6"/>
    <mergeCell ref="AK5:AK8"/>
    <mergeCell ref="AG5:AG6"/>
    <mergeCell ref="AJ5:AJ6"/>
    <mergeCell ref="AC5:AC6"/>
    <mergeCell ref="AB5:AB6"/>
    <mergeCell ref="AH5:AH6"/>
    <mergeCell ref="W5:X5"/>
    <mergeCell ref="Z5:AA5"/>
    <mergeCell ref="AD5:AD6"/>
    <mergeCell ref="V5:V6"/>
    <mergeCell ref="Y5:Y6"/>
  </mergeCells>
  <pageMargins left="0" right="0" top="0" bottom="0" header="0" footer="0"/>
  <pageSetup paperSize="9" scale="3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E5" sqref="E5"/>
    </sheetView>
  </sheetViews>
  <sheetFormatPr defaultRowHeight="15"/>
  <sheetData>
    <row r="1" spans="1:13">
      <c r="A1" s="165"/>
      <c r="B1" s="744" t="s">
        <v>178</v>
      </c>
      <c r="C1" s="745"/>
      <c r="D1" s="745"/>
      <c r="E1" s="745"/>
      <c r="F1" s="745"/>
      <c r="G1" s="746"/>
      <c r="H1" s="747" t="s">
        <v>179</v>
      </c>
      <c r="I1" s="745"/>
      <c r="J1" s="745"/>
      <c r="K1" s="745"/>
      <c r="L1" s="745"/>
      <c r="M1" s="746"/>
    </row>
    <row r="2" spans="1:13">
      <c r="A2" s="166"/>
      <c r="B2" s="748" t="s">
        <v>180</v>
      </c>
      <c r="C2" s="561"/>
      <c r="D2" s="561"/>
      <c r="E2" s="561"/>
      <c r="F2" s="561"/>
      <c r="G2" s="749"/>
      <c r="H2" s="750" t="s">
        <v>180</v>
      </c>
      <c r="I2" s="561"/>
      <c r="J2" s="561"/>
      <c r="K2" s="561"/>
      <c r="L2" s="561"/>
      <c r="M2" s="749"/>
    </row>
    <row r="3" spans="1:13">
      <c r="A3" s="166" t="s">
        <v>181</v>
      </c>
      <c r="B3" s="116">
        <v>1</v>
      </c>
      <c r="C3" s="4">
        <v>2</v>
      </c>
      <c r="D3" s="4">
        <v>3</v>
      </c>
      <c r="E3" s="4">
        <v>4</v>
      </c>
      <c r="F3" s="4">
        <v>5</v>
      </c>
      <c r="G3" s="159">
        <v>6</v>
      </c>
      <c r="H3" s="167">
        <v>1</v>
      </c>
      <c r="I3" s="4">
        <v>2</v>
      </c>
      <c r="J3" s="4">
        <v>3</v>
      </c>
      <c r="K3" s="4">
        <v>4</v>
      </c>
      <c r="L3" s="4">
        <v>5</v>
      </c>
      <c r="M3" s="159">
        <v>6</v>
      </c>
    </row>
    <row r="4" spans="1:13">
      <c r="A4" s="166" t="s">
        <v>182</v>
      </c>
      <c r="B4" s="116">
        <v>6.0000000000000001E-3</v>
      </c>
      <c r="C4" s="4">
        <v>8.0000000000000002E-3</v>
      </c>
      <c r="D4" s="4">
        <v>1.2999999999999999E-2</v>
      </c>
      <c r="E4" s="4">
        <v>1.7000000000000001E-2</v>
      </c>
      <c r="F4" s="4">
        <v>2.1000000000000001E-2</v>
      </c>
      <c r="G4" s="159">
        <v>2.5000000000000001E-2</v>
      </c>
      <c r="H4" s="167">
        <v>8.0000000000000002E-3</v>
      </c>
      <c r="I4" s="4">
        <v>1.4E-2</v>
      </c>
      <c r="J4" s="4">
        <v>2.1000000000000001E-2</v>
      </c>
      <c r="K4" s="4">
        <v>2.7E-2</v>
      </c>
      <c r="L4" s="4">
        <v>3.3000000000000002E-2</v>
      </c>
      <c r="M4" s="159">
        <v>0.04</v>
      </c>
    </row>
    <row r="5" spans="1:13">
      <c r="A5" s="166" t="s">
        <v>183</v>
      </c>
      <c r="B5" s="116">
        <v>6.0000000000000001E-3</v>
      </c>
      <c r="C5" s="4">
        <v>1.2E-2</v>
      </c>
      <c r="D5" s="4">
        <v>1.7999999999999999E-2</v>
      </c>
      <c r="E5" s="4">
        <v>2.4E-2</v>
      </c>
      <c r="F5" s="4">
        <v>2.8000000000000001E-2</v>
      </c>
      <c r="G5" s="159">
        <v>3.5000000000000003E-2</v>
      </c>
      <c r="H5" s="167">
        <v>0.01</v>
      </c>
      <c r="I5" s="4">
        <v>1.7999999999999999E-2</v>
      </c>
      <c r="J5" s="4">
        <v>2.5999999999999999E-2</v>
      </c>
      <c r="K5" s="4">
        <v>3.4000000000000002E-2</v>
      </c>
      <c r="L5" s="4">
        <v>4.2000000000000003E-2</v>
      </c>
      <c r="M5" s="159">
        <v>0.05</v>
      </c>
    </row>
    <row r="6" spans="1:13" ht="15.75" thickBot="1">
      <c r="A6" s="168" t="s">
        <v>184</v>
      </c>
      <c r="B6" s="125">
        <v>8.0000000000000002E-3</v>
      </c>
      <c r="C6" s="126">
        <v>1.4999999999999999E-2</v>
      </c>
      <c r="D6" s="126">
        <v>2.3E-2</v>
      </c>
      <c r="E6" s="126">
        <v>3.2000000000000001E-2</v>
      </c>
      <c r="F6" s="126">
        <v>3.6999999999999998E-2</v>
      </c>
      <c r="G6" s="160">
        <v>4.5999999999999999E-2</v>
      </c>
      <c r="H6" s="169">
        <v>1.4E-2</v>
      </c>
      <c r="I6" s="126">
        <v>2.5000000000000001E-2</v>
      </c>
      <c r="J6" s="126">
        <v>3.6999999999999998E-2</v>
      </c>
      <c r="K6" s="126">
        <v>4.9000000000000002E-2</v>
      </c>
      <c r="L6" s="126">
        <v>0.06</v>
      </c>
      <c r="M6" s="160">
        <v>7.1999999999999995E-2</v>
      </c>
    </row>
  </sheetData>
  <mergeCells count="4">
    <mergeCell ref="B1:G1"/>
    <mergeCell ref="H1:M1"/>
    <mergeCell ref="B2:G2"/>
    <mergeCell ref="H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1:W47"/>
  <sheetViews>
    <sheetView topLeftCell="A4" workbookViewId="0">
      <selection activeCell="AF32" sqref="AF32"/>
    </sheetView>
  </sheetViews>
  <sheetFormatPr defaultRowHeight="15"/>
  <cols>
    <col min="2" max="2" width="12" customWidth="1"/>
    <col min="3" max="3" width="9" customWidth="1"/>
    <col min="4" max="4" width="11" customWidth="1"/>
    <col min="5" max="5" width="10.85546875" customWidth="1"/>
    <col min="6" max="6" width="13.85546875" customWidth="1"/>
    <col min="7" max="8" width="12.5703125" customWidth="1"/>
    <col min="9" max="9" width="21.28515625" customWidth="1"/>
    <col min="10" max="10" width="14.5703125" customWidth="1"/>
    <col min="11" max="11" width="12.85546875" customWidth="1"/>
    <col min="12" max="13" width="13" customWidth="1"/>
    <col min="14" max="14" width="13.140625" customWidth="1"/>
    <col min="15" max="15" width="8" customWidth="1"/>
    <col min="16" max="16" width="7.28515625" customWidth="1"/>
    <col min="17" max="17" width="8" customWidth="1"/>
    <col min="18" max="18" width="3.85546875" customWidth="1"/>
    <col min="19" max="20" width="4.85546875" customWidth="1"/>
  </cols>
  <sheetData>
    <row r="11" spans="1:23" ht="18.75">
      <c r="B11" s="21" t="s">
        <v>57</v>
      </c>
      <c r="C11" s="21"/>
      <c r="E11" s="32">
        <f>'Исходные данные'!J12</f>
        <v>4444</v>
      </c>
      <c r="F11" s="32"/>
      <c r="G11" s="32"/>
      <c r="H11" s="32"/>
      <c r="I11" s="21"/>
      <c r="K11" s="21"/>
      <c r="L11" s="21"/>
      <c r="M11" s="21"/>
      <c r="N11" s="21"/>
      <c r="O11" s="21"/>
    </row>
    <row r="13" spans="1:23" ht="23.25">
      <c r="B13" s="21"/>
      <c r="C13" s="21"/>
      <c r="D13" s="19" t="s">
        <v>56</v>
      </c>
      <c r="E13" s="19" t="s">
        <v>27</v>
      </c>
      <c r="F13" s="19"/>
      <c r="G13" s="19"/>
      <c r="H13" s="19"/>
      <c r="I13" s="22"/>
      <c r="K13" s="84"/>
      <c r="L13" s="84"/>
      <c r="M13" s="84"/>
      <c r="N13" s="22"/>
      <c r="O13" s="22"/>
      <c r="P13" s="22"/>
      <c r="Q13" s="22"/>
      <c r="R13" s="22"/>
      <c r="S13" s="22"/>
    </row>
    <row r="14" spans="1:23" ht="18.75">
      <c r="B14" s="21"/>
      <c r="C14" s="21"/>
      <c r="D14" s="21"/>
      <c r="E14" s="21"/>
      <c r="F14" s="21"/>
      <c r="G14" s="21"/>
      <c r="H14" s="21"/>
      <c r="I14" s="22"/>
      <c r="J14" s="84"/>
      <c r="K14" s="84"/>
      <c r="L14" s="84"/>
      <c r="M14" s="84"/>
      <c r="N14" s="22"/>
      <c r="O14" s="22"/>
      <c r="P14" s="22"/>
      <c r="Q14" s="22"/>
      <c r="R14" s="22"/>
      <c r="S14" s="22"/>
    </row>
    <row r="15" spans="1:23" ht="39.75" customHeight="1">
      <c r="A15" s="540" t="s">
        <v>8</v>
      </c>
      <c r="B15" s="49" t="s">
        <v>66</v>
      </c>
      <c r="C15" s="541" t="s">
        <v>82</v>
      </c>
      <c r="D15" s="49" t="s">
        <v>67</v>
      </c>
      <c r="E15" s="543" t="s">
        <v>81</v>
      </c>
      <c r="F15" s="545" t="s">
        <v>226</v>
      </c>
      <c r="G15" s="546"/>
      <c r="H15" s="547" t="s">
        <v>229</v>
      </c>
      <c r="I15" s="538" t="s">
        <v>76</v>
      </c>
      <c r="J15" s="538" t="s">
        <v>122</v>
      </c>
      <c r="K15" s="538" t="s">
        <v>123</v>
      </c>
      <c r="L15" s="538" t="s">
        <v>124</v>
      </c>
      <c r="M15" s="538" t="s">
        <v>123</v>
      </c>
    </row>
    <row r="16" spans="1:23" ht="55.5" customHeight="1">
      <c r="A16" s="540"/>
      <c r="B16" s="50" t="s">
        <v>28</v>
      </c>
      <c r="C16" s="542"/>
      <c r="D16" s="50" t="s">
        <v>55</v>
      </c>
      <c r="E16" s="544"/>
      <c r="F16" s="236" t="s">
        <v>227</v>
      </c>
      <c r="G16" s="236" t="s">
        <v>228</v>
      </c>
      <c r="H16" s="548"/>
      <c r="I16" s="539"/>
      <c r="J16" s="539"/>
      <c r="K16" s="539"/>
      <c r="L16" s="539"/>
      <c r="M16" s="539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15" ht="18.75">
      <c r="A17" s="55">
        <f>'Исходные данные'!B16</f>
        <v>0</v>
      </c>
      <c r="B17" s="54">
        <f>'Исходные данные'!I16</f>
        <v>0</v>
      </c>
      <c r="C17" s="54">
        <f>'Исходные данные'!U16</f>
        <v>0</v>
      </c>
      <c r="D17" s="54">
        <f>'Исходные данные'!J16</f>
        <v>0</v>
      </c>
      <c r="E17" s="54">
        <f>'Исходные данные'!U16</f>
        <v>0</v>
      </c>
      <c r="F17" s="95">
        <f>IF('Исходные данные'!I16&gt;1500,2,1)</f>
        <v>1</v>
      </c>
      <c r="G17" s="95">
        <f>IF('Исходные данные'!J16&gt;1300,2,1)</f>
        <v>1</v>
      </c>
      <c r="H17" s="95">
        <f>(F17*G17)*'Исходные данные'!U16</f>
        <v>0</v>
      </c>
      <c r="I17" s="4" t="e">
        <f>CONCATENATE('Исходные данные'!C16,'Исходные данные'!#REF!,'Исходные данные'!#REF!,'Исходные данные'!#REF!,'Исходные данные'!#REF!,'Исходные данные'!K16,'Исходные данные'!L16,'Исходные данные'!N16,'Исходные данные'!O16,'Исходные данные'!S16,'Исходные данные'!P16,'Исходные данные'!S16,'Исходные данные'!T16)</f>
        <v>#REF!</v>
      </c>
      <c r="J17" s="4"/>
      <c r="K17" s="4"/>
      <c r="L17" s="4"/>
      <c r="M17" s="4"/>
      <c r="N17" t="e">
        <f>IF(AND('Исходные данные'!#REF!=3,'Исходные данные'!K16=1),0.206*'Исходные данные'!U16,IF(AND('Исходные данные'!#REF!=3,'Исходные данные'!K16=2),0.219*'Исходные данные'!U16,IF(AND('Исходные данные'!#REF!=1,'Исходные данные'!K16=2),0.275*'Исходные данные'!U16,IF(AND('Исходные данные'!#REF!=1,'Исходные данные'!K16=1),0.276*'Исходные данные'!U16,0))))</f>
        <v>#REF!</v>
      </c>
    </row>
    <row r="18" spans="1:15" ht="18.75">
      <c r="A18" s="55">
        <f>'Исходные данные'!B17</f>
        <v>0</v>
      </c>
      <c r="B18" s="54">
        <f>'Исходные данные'!I17</f>
        <v>0</v>
      </c>
      <c r="C18" s="54">
        <f>'Исходные данные'!U17</f>
        <v>0</v>
      </c>
      <c r="D18" s="54">
        <f>'Исходные данные'!J17</f>
        <v>0</v>
      </c>
      <c r="E18" s="54">
        <f>'Исходные данные'!U17</f>
        <v>0</v>
      </c>
      <c r="F18" s="95">
        <f>IF('Исходные данные'!I17&gt;1500,2,1)</f>
        <v>1</v>
      </c>
      <c r="G18" s="95">
        <f>IF('Исходные данные'!J17&gt;1300,2,1)</f>
        <v>1</v>
      </c>
      <c r="H18" s="95">
        <f>(F18*G18)*'Исходные данные'!U17</f>
        <v>0</v>
      </c>
      <c r="I18" s="4" t="e">
        <f>CONCATENATE('Исходные данные'!C17,'Исходные данные'!#REF!,'Исходные данные'!#REF!,'Исходные данные'!#REF!,'Исходные данные'!#REF!,'Исходные данные'!K17,'Исходные данные'!L17,'Исходные данные'!N17,'Исходные данные'!O17,'Исходные данные'!S17,'Исходные данные'!P17,'Исходные данные'!S17,'Исходные данные'!T17)</f>
        <v>#REF!</v>
      </c>
      <c r="J18" s="4"/>
      <c r="K18" s="4"/>
      <c r="L18" s="4"/>
      <c r="M18" s="4"/>
      <c r="N18" t="e">
        <f>IF(AND('Исходные данные'!#REF!=3,'Исходные данные'!K17=1),0.206*'Исходные данные'!U17,IF(AND('Исходные данные'!#REF!=3,'Исходные данные'!K17=2),0.219*'Исходные данные'!U17,IF(AND('Исходные данные'!#REF!=1,'Исходные данные'!K17=2),0.275*'Исходные данные'!U17,IF(AND('Исходные данные'!#REF!=1,'Исходные данные'!K17=1),0.276*'Исходные данные'!U17,0))))</f>
        <v>#REF!</v>
      </c>
    </row>
    <row r="19" spans="1:15" ht="18.75">
      <c r="A19" s="105">
        <f>'Исходные данные'!B18</f>
        <v>0</v>
      </c>
      <c r="B19" s="54">
        <f>'Исходные данные'!I18</f>
        <v>0</v>
      </c>
      <c r="C19" s="54">
        <f>'Исходные данные'!U18</f>
        <v>0</v>
      </c>
      <c r="D19" s="54">
        <f>'Исходные данные'!J18</f>
        <v>0</v>
      </c>
      <c r="E19" s="54">
        <f>'Исходные данные'!U18</f>
        <v>0</v>
      </c>
      <c r="F19" s="95">
        <f>IF('Исходные данные'!I18&gt;1500,2,1)</f>
        <v>1</v>
      </c>
      <c r="G19" s="95">
        <f>IF('Исходные данные'!J18&gt;1300,2,1)</f>
        <v>1</v>
      </c>
      <c r="H19" s="95">
        <f>(F19*G19)*'Исходные данные'!U18</f>
        <v>0</v>
      </c>
      <c r="I19" s="4" t="e">
        <f>CONCATENATE('Исходные данные'!C18,'Исходные данные'!#REF!,'Исходные данные'!#REF!,'Исходные данные'!#REF!,'Исходные данные'!#REF!,'Исходные данные'!K18,'Исходные данные'!L18,'Исходные данные'!N18,'Исходные данные'!O18,'Исходные данные'!S18,'Исходные данные'!P18,'Исходные данные'!S18,'Исходные данные'!T18)</f>
        <v>#REF!</v>
      </c>
      <c r="J19" s="4"/>
      <c r="K19" s="101"/>
      <c r="L19" s="4"/>
      <c r="M19" s="4"/>
      <c r="N19" t="e">
        <f>IF(AND('Исходные данные'!#REF!=3,'Исходные данные'!K18=1),0.206*'Исходные данные'!U18,IF(AND('Исходные данные'!#REF!=3,'Исходные данные'!K18=2),0.219*'Исходные данные'!U18,IF(AND('Исходные данные'!#REF!=1,'Исходные данные'!K18=2),0.275*'Исходные данные'!U18,IF(AND('Исходные данные'!#REF!=1,'Исходные данные'!K18=1),0.276*'Исходные данные'!U18,0))))</f>
        <v>#REF!</v>
      </c>
    </row>
    <row r="20" spans="1:15" ht="18.75">
      <c r="A20" s="106">
        <f>'Исходные данные'!B19</f>
        <v>0</v>
      </c>
      <c r="B20" s="54">
        <f>'Исходные данные'!I19</f>
        <v>0</v>
      </c>
      <c r="C20" s="54">
        <f>'Исходные данные'!U19</f>
        <v>0</v>
      </c>
      <c r="D20" s="54">
        <f>'Исходные данные'!J19</f>
        <v>0</v>
      </c>
      <c r="E20" s="54">
        <f>'Исходные данные'!U19</f>
        <v>0</v>
      </c>
      <c r="F20" s="95">
        <f>IF('Исходные данные'!I19&gt;1500,2,1)</f>
        <v>1</v>
      </c>
      <c r="G20" s="95">
        <f>IF('Исходные данные'!J19&gt;1300,2,1)</f>
        <v>1</v>
      </c>
      <c r="H20" s="95">
        <f>(F20*G20)*'Исходные данные'!U19</f>
        <v>0</v>
      </c>
      <c r="I20" s="4" t="e">
        <f>CONCATENATE('Исходные данные'!C19,'Исходные данные'!#REF!,'Исходные данные'!#REF!,'Исходные данные'!#REF!,'Исходные данные'!#REF!,'Исходные данные'!K19,'Исходные данные'!L19,'Исходные данные'!N19,'Исходные данные'!O19,'Исходные данные'!S19,'Исходные данные'!P19,'Исходные данные'!S19,'Исходные данные'!T19)</f>
        <v>#REF!</v>
      </c>
      <c r="J20" s="4"/>
      <c r="K20" s="101"/>
      <c r="L20" s="4"/>
      <c r="M20" s="4"/>
      <c r="N20" t="e">
        <f>IF(AND('Исходные данные'!#REF!=3,'Исходные данные'!K19=1),0.206*'Исходные данные'!U19,IF(AND('Исходные данные'!#REF!=3,'Исходные данные'!K19=2),0.219*'Исходные данные'!U19,IF(AND('Исходные данные'!#REF!=1,'Исходные данные'!K19=2),0.275*'Исходные данные'!U19,IF(AND('Исходные данные'!#REF!=1,'Исходные данные'!K19=1),0.276*'Исходные данные'!U19,0))))</f>
        <v>#REF!</v>
      </c>
    </row>
    <row r="21" spans="1:15">
      <c r="A21" s="102">
        <f>'Исходные данные'!B20</f>
        <v>0</v>
      </c>
      <c r="B21" s="59">
        <f>'Исходные данные'!I20</f>
        <v>0</v>
      </c>
      <c r="C21" s="61">
        <f>'Исходные данные'!U20</f>
        <v>0</v>
      </c>
      <c r="D21" s="59">
        <f>'Исходные данные'!J20</f>
        <v>0</v>
      </c>
      <c r="E21" s="61">
        <f>'Исходные данные'!U20</f>
        <v>0</v>
      </c>
      <c r="F21" s="95">
        <f>IF('Исходные данные'!I20&gt;1500,2,1)</f>
        <v>1</v>
      </c>
      <c r="G21" s="95">
        <f>IF('Исходные данные'!J20&gt;1300,2,1)</f>
        <v>1</v>
      </c>
      <c r="H21" s="95">
        <f>(F21*G21)*'Исходные данные'!U20</f>
        <v>0</v>
      </c>
      <c r="I21" s="4" t="e">
        <f>CONCATENATE('Исходные данные'!C20,'Исходные данные'!#REF!,'Исходные данные'!#REF!,'Исходные данные'!#REF!,'Исходные данные'!#REF!,'Исходные данные'!K20,'Исходные данные'!L20,'Исходные данные'!N20,'Исходные данные'!O20,'Исходные данные'!S20,'Исходные данные'!P20,'Исходные данные'!S20,'Исходные данные'!T20)</f>
        <v>#REF!</v>
      </c>
      <c r="J21" s="4"/>
      <c r="K21" s="101"/>
      <c r="L21" s="4"/>
      <c r="M21" s="4"/>
      <c r="N21" t="e">
        <f>IF(AND('Исходные данные'!#REF!=3,'Исходные данные'!K20=1),0.206*'Исходные данные'!U20,IF(AND('Исходные данные'!#REF!=3,'Исходные данные'!K20=2),0.219*'Исходные данные'!U20,IF(AND('Исходные данные'!#REF!=1,'Исходные данные'!K20=2),0.275*'Исходные данные'!U20,IF(AND('Исходные данные'!#REF!=1,'Исходные данные'!K20=1),0.276*'Исходные данные'!U20,0))))</f>
        <v>#REF!</v>
      </c>
      <c r="O21" t="e">
        <f>CONCATENATE('Исходные данные'!C20,'Исходные данные'!#REF!,'Исходные данные'!#REF!,'Исходные данные'!#REF!,'Исходные данные'!#REF!)</f>
        <v>#REF!</v>
      </c>
    </row>
    <row r="22" spans="1:15">
      <c r="A22" s="42">
        <f>'Исходные данные'!B21</f>
        <v>0</v>
      </c>
      <c r="B22" s="59">
        <f>'Исходные данные'!I21</f>
        <v>0</v>
      </c>
      <c r="C22" s="61">
        <f>'Исходные данные'!U21</f>
        <v>0</v>
      </c>
      <c r="D22" s="59">
        <f>'Исходные данные'!J21</f>
        <v>0</v>
      </c>
      <c r="E22" s="61">
        <f>'Исходные данные'!U21</f>
        <v>0</v>
      </c>
      <c r="F22" s="95">
        <f>IF('Исходные данные'!I21&gt;1500,2,1)</f>
        <v>1</v>
      </c>
      <c r="G22" s="95">
        <f>IF('Исходные данные'!J21&gt;1300,2,1)</f>
        <v>1</v>
      </c>
      <c r="H22" s="95">
        <f>(F22*G22)*'Исходные данные'!U21</f>
        <v>0</v>
      </c>
      <c r="I22" s="4" t="e">
        <f>CONCATENATE('Исходные данные'!C21,'Исходные данные'!#REF!,'Исходные данные'!#REF!,'Исходные данные'!#REF!,'Исходные данные'!#REF!,'Исходные данные'!K21,'Исходные данные'!L21,'Исходные данные'!N21,'Исходные данные'!O21,'Исходные данные'!S21,'Исходные данные'!P21,'Исходные данные'!S21,'Исходные данные'!T21)</f>
        <v>#REF!</v>
      </c>
      <c r="J22" s="4"/>
      <c r="K22" s="4"/>
      <c r="L22" s="4"/>
      <c r="M22" s="4"/>
      <c r="N22" t="e">
        <f>IF(AND('Исходные данные'!#REF!=3,'Исходные данные'!K21=1),0.206*'Исходные данные'!U21,IF(AND('Исходные данные'!#REF!=3,'Исходные данные'!K21=2),0.219*'Исходные данные'!U21,IF(AND('Исходные данные'!#REF!=1,'Исходные данные'!K21=2),0.275*'Исходные данные'!U21,IF(AND('Исходные данные'!#REF!=1,'Исходные данные'!K21=1),0.276*'Исходные данные'!U21,0))))</f>
        <v>#REF!</v>
      </c>
      <c r="O22" t="e">
        <f>CONCATENATE('Исходные данные'!C21,'Исходные данные'!#REF!,'Исходные данные'!#REF!,'Исходные данные'!#REF!,'Исходные данные'!#REF!)</f>
        <v>#REF!</v>
      </c>
    </row>
    <row r="23" spans="1:15">
      <c r="A23" s="42">
        <f>'Исходные данные'!B22</f>
        <v>0</v>
      </c>
      <c r="B23" s="59">
        <f>'Исходные данные'!I22</f>
        <v>0</v>
      </c>
      <c r="C23" s="61">
        <f>'Исходные данные'!U22</f>
        <v>0</v>
      </c>
      <c r="D23" s="59">
        <f>'Исходные данные'!J22</f>
        <v>0</v>
      </c>
      <c r="E23" s="61">
        <f>'Исходные данные'!U22</f>
        <v>0</v>
      </c>
      <c r="F23" s="95">
        <f>IF('Исходные данные'!I22&gt;1500,2,1)</f>
        <v>1</v>
      </c>
      <c r="G23" s="95">
        <f>IF('Исходные данные'!J22&gt;1300,2,1)</f>
        <v>1</v>
      </c>
      <c r="H23" s="95">
        <f>(F23*G23)*'Исходные данные'!U22</f>
        <v>0</v>
      </c>
      <c r="I23" s="4" t="e">
        <f>CONCATENATE('Исходные данные'!C22,'Исходные данные'!#REF!,'Исходные данные'!#REF!,'Исходные данные'!#REF!,'Исходные данные'!#REF!,'Исходные данные'!K22,'Исходные данные'!L22,'Исходные данные'!N22,'Исходные данные'!O22,'Исходные данные'!S22,'Исходные данные'!P22,'Исходные данные'!S22,'Исходные данные'!T22)</f>
        <v>#REF!</v>
      </c>
      <c r="J23" s="4"/>
      <c r="K23" s="4"/>
      <c r="L23" s="4"/>
      <c r="M23" s="4"/>
      <c r="N23" t="e">
        <f>IF(AND('Исходные данные'!#REF!=3,'Исходные данные'!K22=1),0.206*'Исходные данные'!U22,IF(AND('Исходные данные'!#REF!=3,'Исходные данные'!K22=2),0.219*'Исходные данные'!U22,IF(AND('Исходные данные'!#REF!=1,'Исходные данные'!K22=2),0.275*'Исходные данные'!U22,IF(AND('Исходные данные'!#REF!=1,'Исходные данные'!K22=1),0.276*'Исходные данные'!U22,0))))</f>
        <v>#REF!</v>
      </c>
      <c r="O23" t="e">
        <f>CONCATENATE('Исходные данные'!C22,'Исходные данные'!#REF!,'Исходные данные'!#REF!,'Исходные данные'!#REF!,'Исходные данные'!#REF!)</f>
        <v>#REF!</v>
      </c>
    </row>
    <row r="24" spans="1:15">
      <c r="A24" s="42">
        <f>'Исходные данные'!B23</f>
        <v>0</v>
      </c>
      <c r="B24" s="59">
        <f>'Исходные данные'!I23</f>
        <v>0</v>
      </c>
      <c r="C24" s="61">
        <f>'Исходные данные'!U23</f>
        <v>0</v>
      </c>
      <c r="D24" s="59">
        <f>'Исходные данные'!J23</f>
        <v>0</v>
      </c>
      <c r="E24" s="61">
        <f>'Исходные данные'!U23</f>
        <v>0</v>
      </c>
      <c r="F24" s="95">
        <f>IF('Исходные данные'!I23&gt;1500,2,1)</f>
        <v>1</v>
      </c>
      <c r="G24" s="95">
        <f>IF('Исходные данные'!J23&gt;1300,2,1)</f>
        <v>1</v>
      </c>
      <c r="H24" s="95">
        <f>(F24*G24)*'Исходные данные'!U23</f>
        <v>0</v>
      </c>
      <c r="I24" s="4" t="e">
        <f>CONCATENATE('Исходные данные'!C23,'Исходные данные'!#REF!,'Исходные данные'!#REF!,'Исходные данные'!#REF!,'Исходные данные'!#REF!,'Исходные данные'!K23,'Исходные данные'!L23,'Исходные данные'!N23,'Исходные данные'!O23,'Исходные данные'!S23,'Исходные данные'!P23,'Исходные данные'!S23,'Исходные данные'!T23)</f>
        <v>#REF!</v>
      </c>
      <c r="J24" s="4"/>
      <c r="K24" s="4"/>
      <c r="L24" s="4"/>
      <c r="M24" s="4"/>
      <c r="N24" t="e">
        <f>IF(AND('Исходные данные'!#REF!=3,'Исходные данные'!K23=1),0.206*'Исходные данные'!U23,IF(AND('Исходные данные'!#REF!=3,'Исходные данные'!K23=2),0.219*'Исходные данные'!U23,IF(AND('Исходные данные'!#REF!=1,'Исходные данные'!K23=2),0.275*'Исходные данные'!U23,IF(AND('Исходные данные'!#REF!=1,'Исходные данные'!K23=1),0.276*'Исходные данные'!U23,0))))</f>
        <v>#REF!</v>
      </c>
      <c r="O24" t="e">
        <f>CONCATENATE('Исходные данные'!C23,'Исходные данные'!#REF!,'Исходные данные'!#REF!,'Исходные данные'!#REF!,'Исходные данные'!#REF!)</f>
        <v>#REF!</v>
      </c>
    </row>
    <row r="25" spans="1:15">
      <c r="A25" s="42">
        <f>'Исходные данные'!B24</f>
        <v>0</v>
      </c>
      <c r="B25" s="59">
        <f>'Исходные данные'!I24</f>
        <v>0</v>
      </c>
      <c r="C25" s="61">
        <f>'Исходные данные'!U24</f>
        <v>0</v>
      </c>
      <c r="D25" s="59">
        <f>'Исходные данные'!J24</f>
        <v>0</v>
      </c>
      <c r="E25" s="61">
        <f>'Исходные данные'!U24</f>
        <v>0</v>
      </c>
      <c r="F25" s="95">
        <f>IF('Исходные данные'!I24&gt;1500,2,1)</f>
        <v>1</v>
      </c>
      <c r="G25" s="95">
        <f>IF('Исходные данные'!J24&gt;1300,2,1)</f>
        <v>1</v>
      </c>
      <c r="H25" s="95">
        <f>(F25*G25)*'Исходные данные'!U24</f>
        <v>0</v>
      </c>
      <c r="I25" s="4" t="e">
        <f>CONCATENATE('Исходные данные'!C24,'Исходные данные'!#REF!,'Исходные данные'!#REF!,'Исходные данные'!#REF!,'Исходные данные'!#REF!,'Исходные данные'!K24,'Исходные данные'!L24,'Исходные данные'!N24,'Исходные данные'!O24,'Исходные данные'!S24,'Исходные данные'!P24,'Исходные данные'!S24,'Исходные данные'!T24)</f>
        <v>#REF!</v>
      </c>
      <c r="J25" s="4"/>
      <c r="K25" s="4"/>
      <c r="L25" s="4"/>
      <c r="M25" s="4"/>
      <c r="N25" t="e">
        <f>IF(AND('Исходные данные'!#REF!=3,'Исходные данные'!K24=1),0.206*'Исходные данные'!U24,IF(AND('Исходные данные'!#REF!=3,'Исходные данные'!K24=2),0.219*'Исходные данные'!U24,IF(AND('Исходные данные'!#REF!=1,'Исходные данные'!K24=2),0.275*'Исходные данные'!U24,IF(AND('Исходные данные'!#REF!=1,'Исходные данные'!K24=1),0.276*'Исходные данные'!U24,0))))</f>
        <v>#REF!</v>
      </c>
      <c r="O25" t="e">
        <f>CONCATENATE('Исходные данные'!C24,'Исходные данные'!#REF!,'Исходные данные'!#REF!,'Исходные данные'!#REF!,'Исходные данные'!#REF!)</f>
        <v>#REF!</v>
      </c>
    </row>
    <row r="26" spans="1:15">
      <c r="A26" s="42">
        <f>'Исходные данные'!B25</f>
        <v>0</v>
      </c>
      <c r="B26" s="59">
        <f>'Исходные данные'!I25</f>
        <v>0</v>
      </c>
      <c r="C26" s="61">
        <f>'Исходные данные'!U25</f>
        <v>0</v>
      </c>
      <c r="D26" s="59">
        <f>'Исходные данные'!J25</f>
        <v>0</v>
      </c>
      <c r="E26" s="61">
        <f>'Исходные данные'!U25</f>
        <v>0</v>
      </c>
      <c r="F26" s="95">
        <f>IF('Исходные данные'!I25&gt;1500,2,1)</f>
        <v>1</v>
      </c>
      <c r="G26" s="95">
        <f>IF('Исходные данные'!J25&gt;1300,2,1)</f>
        <v>1</v>
      </c>
      <c r="H26" s="95">
        <f>(F26*G26)*'Исходные данные'!U25</f>
        <v>0</v>
      </c>
      <c r="I26" s="4" t="e">
        <f>CONCATENATE('Исходные данные'!C25,'Исходные данные'!#REF!,'Исходные данные'!#REF!,'Исходные данные'!#REF!,'Исходные данные'!#REF!,'Исходные данные'!K25,'Исходные данные'!L25,'Исходные данные'!N25,'Исходные данные'!O25,'Исходные данные'!S25,'Исходные данные'!P25,'Исходные данные'!S25,'Исходные данные'!T25)</f>
        <v>#REF!</v>
      </c>
      <c r="J26" s="4"/>
      <c r="K26" s="4"/>
      <c r="L26" s="4"/>
      <c r="M26" s="4"/>
      <c r="N26" t="e">
        <f>IF(AND('Исходные данные'!#REF!=3,'Исходные данные'!K25=1),0.206*'Исходные данные'!U25,IF(AND('Исходные данные'!#REF!=3,'Исходные данные'!K25=2),0.219*'Исходные данные'!U25,IF(AND('Исходные данные'!#REF!=1,'Исходные данные'!K25=2),0.275*'Исходные данные'!U25,IF(AND('Исходные данные'!#REF!=1,'Исходные данные'!K25=1),0.276*'Исходные данные'!U25,0))))</f>
        <v>#REF!</v>
      </c>
      <c r="O26" t="e">
        <f>CONCATENATE('Исходные данные'!C25,'Исходные данные'!#REF!,'Исходные данные'!#REF!,'Исходные данные'!#REF!,'Исходные данные'!#REF!)</f>
        <v>#REF!</v>
      </c>
    </row>
    <row r="27" spans="1:15">
      <c r="A27" s="42">
        <f>'Исходные данные'!B26</f>
        <v>0</v>
      </c>
      <c r="B27" s="59">
        <f>'Исходные данные'!I26</f>
        <v>0</v>
      </c>
      <c r="C27" s="61">
        <f>'Исходные данные'!U26</f>
        <v>0</v>
      </c>
      <c r="D27" s="59">
        <f>'Исходные данные'!J26</f>
        <v>0</v>
      </c>
      <c r="E27" s="61">
        <f>'Исходные данные'!U26</f>
        <v>0</v>
      </c>
      <c r="F27" s="95">
        <f>IF('Исходные данные'!I26&gt;1500,2,1)</f>
        <v>1</v>
      </c>
      <c r="G27" s="95">
        <f>IF('Исходные данные'!J26&gt;1300,2,1)</f>
        <v>1</v>
      </c>
      <c r="H27" s="95">
        <f>(F27*G27)*'Исходные данные'!U26</f>
        <v>0</v>
      </c>
      <c r="I27" s="4" t="e">
        <f>CONCATENATE('Исходные данные'!C26,'Исходные данные'!#REF!,'Исходные данные'!#REF!,'Исходные данные'!#REF!,'Исходные данные'!#REF!,'Исходные данные'!K26,'Исходные данные'!L26,'Исходные данные'!N26,'Исходные данные'!O26,'Исходные данные'!S26,'Исходные данные'!P26,'Исходные данные'!S26,'Исходные данные'!T26)</f>
        <v>#REF!</v>
      </c>
      <c r="J27" s="4"/>
      <c r="K27" s="4"/>
      <c r="L27" s="4"/>
      <c r="M27" s="4"/>
      <c r="N27" t="e">
        <f>IF(AND('Исходные данные'!#REF!=3,'Исходные данные'!K26=1),0.206*'Исходные данные'!U26,IF(AND('Исходные данные'!#REF!=3,'Исходные данные'!K26=2),0.219*'Исходные данные'!U26,IF(AND('Исходные данные'!#REF!=1,'Исходные данные'!K26=2),0.275*'Исходные данные'!U26,IF(AND('Исходные данные'!#REF!=1,'Исходные данные'!K26=1),0.276*'Исходные данные'!U26,0))))</f>
        <v>#REF!</v>
      </c>
      <c r="O27" t="e">
        <f>CONCATENATE('Исходные данные'!C26,'Исходные данные'!#REF!,'Исходные данные'!#REF!,'Исходные данные'!#REF!,'Исходные данные'!#REF!)</f>
        <v>#REF!</v>
      </c>
    </row>
    <row r="28" spans="1:15">
      <c r="A28" s="42">
        <f>'Исходные данные'!B27</f>
        <v>0</v>
      </c>
      <c r="B28" s="59">
        <f>'Исходные данные'!I27</f>
        <v>0</v>
      </c>
      <c r="C28" s="61">
        <f>'Исходные данные'!U27</f>
        <v>0</v>
      </c>
      <c r="D28" s="59">
        <f>'Исходные данные'!J27</f>
        <v>0</v>
      </c>
      <c r="E28" s="61">
        <f>'Исходные данные'!U27</f>
        <v>0</v>
      </c>
      <c r="F28" s="95">
        <f>IF('Исходные данные'!I27&gt;1500,2,1)</f>
        <v>1</v>
      </c>
      <c r="G28" s="95">
        <f>IF('Исходные данные'!J27&gt;1300,2,1)</f>
        <v>1</v>
      </c>
      <c r="H28" s="95">
        <f>(F28*G28)*'Исходные данные'!U27</f>
        <v>0</v>
      </c>
      <c r="I28" s="4" t="e">
        <f>CONCATENATE('Исходные данные'!C27,'Исходные данные'!#REF!,'Исходные данные'!#REF!,'Исходные данные'!#REF!,'Исходные данные'!#REF!,'Исходные данные'!K27,'Исходные данные'!L27,'Исходные данные'!N27,'Исходные данные'!O27,'Исходные данные'!S27,'Исходные данные'!P27,'Исходные данные'!S27,'Исходные данные'!T27)</f>
        <v>#REF!</v>
      </c>
      <c r="J28" s="4"/>
      <c r="K28" s="4"/>
      <c r="L28" s="4"/>
      <c r="M28" s="4"/>
      <c r="N28" t="e">
        <f>IF(AND('Исходные данные'!#REF!=3,'Исходные данные'!K27=1),0.206*'Исходные данные'!U27,IF(AND('Исходные данные'!#REF!=3,'Исходные данные'!K27=2),0.219*'Исходные данные'!U27,IF(AND('Исходные данные'!#REF!=1,'Исходные данные'!K27=2),0.275*'Исходные данные'!U27,IF(AND('Исходные данные'!#REF!=1,'Исходные данные'!K27=1),0.276*'Исходные данные'!U27,0))))</f>
        <v>#REF!</v>
      </c>
      <c r="O28" t="e">
        <f>CONCATENATE('Исходные данные'!C27,'Исходные данные'!#REF!,'Исходные данные'!#REF!,'Исходные данные'!#REF!,'Исходные данные'!#REF!)</f>
        <v>#REF!</v>
      </c>
    </row>
    <row r="29" spans="1:15">
      <c r="A29" s="42">
        <f>'Исходные данные'!B28</f>
        <v>0</v>
      </c>
      <c r="B29" s="59">
        <f>'Исходные данные'!I28</f>
        <v>0</v>
      </c>
      <c r="C29" s="61">
        <f>'Исходные данные'!U28</f>
        <v>0</v>
      </c>
      <c r="D29" s="59">
        <f>'Исходные данные'!J28</f>
        <v>0</v>
      </c>
      <c r="E29" s="61">
        <f>'Исходные данные'!U28</f>
        <v>0</v>
      </c>
      <c r="F29" s="95">
        <f>IF('Исходные данные'!I28&gt;1500,2,1)</f>
        <v>1</v>
      </c>
      <c r="G29" s="95">
        <f>IF('Исходные данные'!J28&gt;1300,2,1)</f>
        <v>1</v>
      </c>
      <c r="H29" s="95">
        <f>(F29*G29)*'Исходные данные'!U28</f>
        <v>0</v>
      </c>
      <c r="I29" s="4" t="e">
        <f>CONCATENATE('Исходные данные'!C28,'Исходные данные'!#REF!,'Исходные данные'!#REF!,'Исходные данные'!#REF!,'Исходные данные'!#REF!,'Исходные данные'!K28,'Исходные данные'!L28,'Исходные данные'!N28,'Исходные данные'!O28,'Исходные данные'!S28,'Исходные данные'!P28,'Исходные данные'!S28,'Исходные данные'!T28)</f>
        <v>#REF!</v>
      </c>
      <c r="J29" s="4"/>
      <c r="K29" s="4"/>
      <c r="L29" s="4"/>
      <c r="M29" s="4"/>
      <c r="N29" t="e">
        <f>IF(AND('Исходные данные'!#REF!=3,'Исходные данные'!K28=1),0.206*'Исходные данные'!U28,IF(AND('Исходные данные'!#REF!=3,'Исходные данные'!K28=2),0.219*'Исходные данные'!U28,IF(AND('Исходные данные'!#REF!=1,'Исходные данные'!K28=2),0.275*'Исходные данные'!U28,IF(AND('Исходные данные'!#REF!=1,'Исходные данные'!K28=1),0.276*'Исходные данные'!U28,0))))</f>
        <v>#REF!</v>
      </c>
      <c r="O29" t="e">
        <f>CONCATENATE('Исходные данные'!C28,'Исходные данные'!#REF!,'Исходные данные'!#REF!,'Исходные данные'!#REF!,'Исходные данные'!#REF!)</f>
        <v>#REF!</v>
      </c>
    </row>
    <row r="30" spans="1:15">
      <c r="A30" s="42">
        <f>'Исходные данные'!B29</f>
        <v>0</v>
      </c>
      <c r="B30" s="59">
        <f>'Исходные данные'!I29</f>
        <v>0</v>
      </c>
      <c r="C30" s="61">
        <f>'Исходные данные'!U29</f>
        <v>0</v>
      </c>
      <c r="D30" s="59">
        <f>'Исходные данные'!J29</f>
        <v>0</v>
      </c>
      <c r="E30" s="61">
        <f>'Исходные данные'!U29</f>
        <v>0</v>
      </c>
      <c r="F30" s="95">
        <f>IF('Исходные данные'!I29&gt;1500,2,1)</f>
        <v>1</v>
      </c>
      <c r="G30" s="95">
        <f>IF('Исходные данные'!J29&gt;1300,2,1)</f>
        <v>1</v>
      </c>
      <c r="H30" s="95">
        <f>(F30*G30)*'Исходные данные'!U29</f>
        <v>0</v>
      </c>
      <c r="I30" s="4" t="e">
        <f>CONCATENATE('Исходные данные'!C29,'Исходные данные'!#REF!,'Исходные данные'!#REF!,'Исходные данные'!#REF!,'Исходные данные'!#REF!,'Исходные данные'!K29,'Исходные данные'!L29,'Исходные данные'!N29,'Исходные данные'!O29,'Исходные данные'!S29,'Исходные данные'!P29,'Исходные данные'!S29,'Исходные данные'!T29)</f>
        <v>#REF!</v>
      </c>
      <c r="J30" s="4"/>
      <c r="K30" s="4"/>
      <c r="L30" s="4"/>
      <c r="M30" s="4"/>
      <c r="N30" t="e">
        <f>IF(AND('Исходные данные'!#REF!=3,'Исходные данные'!K29=1),0.206*'Исходные данные'!U29,IF(AND('Исходные данные'!#REF!=3,'Исходные данные'!K29=2),0.219*'Исходные данные'!U29,IF(AND('Исходные данные'!#REF!=1,'Исходные данные'!K29=2),0.275*'Исходные данные'!U29,IF(AND('Исходные данные'!#REF!=1,'Исходные данные'!K29=1),0.276*'Исходные данные'!U29,0))))</f>
        <v>#REF!</v>
      </c>
      <c r="O30" t="e">
        <f>CONCATENATE('Исходные данные'!C29,'Исходные данные'!#REF!,'Исходные данные'!#REF!,'Исходные данные'!#REF!,'Исходные данные'!#REF!)</f>
        <v>#REF!</v>
      </c>
    </row>
    <row r="31" spans="1:15">
      <c r="A31" s="42">
        <f>'Исходные данные'!B30</f>
        <v>0</v>
      </c>
      <c r="B31" s="59">
        <f>'Исходные данные'!I30</f>
        <v>0</v>
      </c>
      <c r="C31" s="61">
        <f>'Исходные данные'!U30</f>
        <v>0</v>
      </c>
      <c r="D31" s="59">
        <f>'Исходные данные'!J30</f>
        <v>0</v>
      </c>
      <c r="E31" s="61">
        <f>'Исходные данные'!U30</f>
        <v>0</v>
      </c>
      <c r="F31" s="95">
        <f>IF('Исходные данные'!I30&gt;1500,2,1)</f>
        <v>1</v>
      </c>
      <c r="G31" s="95">
        <f>IF('Исходные данные'!J30&gt;1300,2,1)</f>
        <v>1</v>
      </c>
      <c r="H31" s="95">
        <f>(F31*G31)*'Исходные данные'!U30</f>
        <v>0</v>
      </c>
      <c r="I31" s="4" t="e">
        <f>CONCATENATE('Исходные данные'!C30,'Исходные данные'!#REF!,'Исходные данные'!#REF!,'Исходные данные'!#REF!,'Исходные данные'!#REF!,'Исходные данные'!K30,'Исходные данные'!L30,'Исходные данные'!N30,'Исходные данные'!O30,'Исходные данные'!S30,'Исходные данные'!P30,'Исходные данные'!S30,'Исходные данные'!T30)</f>
        <v>#REF!</v>
      </c>
      <c r="J31" s="4"/>
      <c r="K31" s="4"/>
      <c r="L31" s="4"/>
      <c r="M31" s="4"/>
      <c r="N31" t="e">
        <f>IF(AND('Исходные данные'!#REF!=3,'Исходные данные'!K30=1),0.206*'Исходные данные'!U30,IF(AND('Исходные данные'!#REF!=3,'Исходные данные'!K30=2),0.219*'Исходные данные'!U30,IF(AND('Исходные данные'!#REF!=1,'Исходные данные'!K30=2),0.275*'Исходные данные'!U30,IF(AND('Исходные данные'!#REF!=1,'Исходные данные'!K30=1),0.276*'Исходные данные'!U30,0))))</f>
        <v>#REF!</v>
      </c>
      <c r="O31" t="e">
        <f>CONCATENATE('Исходные данные'!C30,'Исходные данные'!#REF!,'Исходные данные'!#REF!,'Исходные данные'!#REF!,'Исходные данные'!#REF!)</f>
        <v>#REF!</v>
      </c>
    </row>
    <row r="32" spans="1:15">
      <c r="O32" t="e">
        <f>CONCATENATE('Исходные данные'!C35,'Исходные данные'!#REF!,'Исходные данные'!#REF!,'Исходные данные'!#REF!,'Исходные данные'!#REF!)</f>
        <v>#REF!</v>
      </c>
    </row>
    <row r="33" spans="1:17">
      <c r="B33" t="s">
        <v>68</v>
      </c>
      <c r="C33" t="s">
        <v>69</v>
      </c>
    </row>
    <row r="34" spans="1:17">
      <c r="B34" t="s">
        <v>145</v>
      </c>
      <c r="D34">
        <v>0.76800000000000002</v>
      </c>
    </row>
    <row r="35" spans="1:17">
      <c r="B35" t="s">
        <v>144</v>
      </c>
      <c r="C35" t="s">
        <v>69</v>
      </c>
      <c r="D35">
        <v>2.4420000000000002</v>
      </c>
    </row>
    <row r="37" spans="1:17" ht="21">
      <c r="A37" s="20"/>
      <c r="B37" s="46" t="s">
        <v>61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20"/>
      <c r="P37" s="20"/>
      <c r="Q37" s="20"/>
    </row>
    <row r="38" spans="1:17" ht="18.75">
      <c r="A38" s="20"/>
      <c r="B38" s="40" t="s">
        <v>70</v>
      </c>
      <c r="C38" s="40"/>
      <c r="D38" s="56">
        <f>'Исходные данные'!J12</f>
        <v>4444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20"/>
      <c r="P38" s="20"/>
      <c r="Q38" s="20"/>
    </row>
    <row r="39" spans="1:17">
      <c r="A39" s="20"/>
      <c r="B39" s="20" t="s">
        <v>72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17">
      <c r="A40" s="20"/>
      <c r="B40" s="20" t="s">
        <v>62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17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17">
      <c r="A42" s="20"/>
      <c r="B42" s="20" t="s">
        <v>40</v>
      </c>
      <c r="C42" s="20" t="s">
        <v>45</v>
      </c>
      <c r="D42" s="20"/>
      <c r="E42" s="20" t="s">
        <v>125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1:17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1:17">
      <c r="A44" s="20"/>
      <c r="B44" s="20" t="s">
        <v>63</v>
      </c>
      <c r="C44" s="20"/>
      <c r="D44" s="20"/>
      <c r="E44" s="20" t="s">
        <v>125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17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spans="1:17">
      <c r="A46" s="20"/>
      <c r="B46" s="20" t="s">
        <v>64</v>
      </c>
      <c r="C46" s="20"/>
      <c r="D46" s="20"/>
      <c r="E46" s="20" t="s">
        <v>125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1:1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</sheetData>
  <mergeCells count="10">
    <mergeCell ref="K15:K16"/>
    <mergeCell ref="L15:L16"/>
    <mergeCell ref="M15:M16"/>
    <mergeCell ref="A15:A16"/>
    <mergeCell ref="C15:C16"/>
    <mergeCell ref="E15:E16"/>
    <mergeCell ref="I15:I16"/>
    <mergeCell ref="J15:J16"/>
    <mergeCell ref="F15:G15"/>
    <mergeCell ref="H15:H16"/>
  </mergeCells>
  <pageMargins left="0.70866141732283472" right="0.70866141732283472" top="0.74803149606299213" bottom="0.74803149606299213" header="0.31496062992125984" footer="0.31496062992125984"/>
  <pageSetup paperSize="9" scale="83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2:R47"/>
  <sheetViews>
    <sheetView topLeftCell="A11" workbookViewId="0">
      <selection activeCell="C16" sqref="C16"/>
    </sheetView>
  </sheetViews>
  <sheetFormatPr defaultRowHeight="15"/>
  <cols>
    <col min="2" max="2" width="15" customWidth="1"/>
    <col min="3" max="3" width="19.140625" customWidth="1"/>
    <col min="4" max="4" width="16.28515625" customWidth="1"/>
    <col min="5" max="5" width="16.85546875" customWidth="1"/>
    <col min="6" max="6" width="10.28515625" customWidth="1"/>
    <col min="7" max="7" width="11.7109375" customWidth="1"/>
    <col min="8" max="8" width="11.42578125" customWidth="1"/>
    <col min="9" max="9" width="12.42578125" customWidth="1"/>
    <col min="10" max="10" width="10.140625" customWidth="1"/>
    <col min="11" max="11" width="7.28515625" customWidth="1"/>
    <col min="12" max="12" width="8" customWidth="1"/>
    <col min="13" max="13" width="6.7109375" customWidth="1"/>
    <col min="14" max="14" width="7.140625" customWidth="1"/>
    <col min="15" max="15" width="4.85546875" customWidth="1"/>
  </cols>
  <sheetData>
    <row r="12" spans="1:18" ht="18.75">
      <c r="B12" s="21" t="s">
        <v>57</v>
      </c>
      <c r="D12" s="32">
        <f>'Исходные данные'!J12</f>
        <v>4444</v>
      </c>
      <c r="E12" s="3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4" spans="1:18" ht="21">
      <c r="B14" s="53" t="s">
        <v>58</v>
      </c>
      <c r="C14" s="22"/>
      <c r="D14" s="51">
        <f>'Исходные данные'!P16</f>
        <v>0</v>
      </c>
      <c r="E14" s="22"/>
      <c r="F14" s="51"/>
      <c r="G14" s="51"/>
      <c r="H14" s="51"/>
      <c r="I14" s="41"/>
      <c r="J14" s="22"/>
      <c r="K14" s="22"/>
      <c r="L14" s="22"/>
      <c r="M14" s="22"/>
      <c r="N14" s="22"/>
    </row>
    <row r="15" spans="1:18">
      <c r="K15">
        <v>2.4E-2</v>
      </c>
      <c r="M15">
        <v>4.1666666666670002E-2</v>
      </c>
    </row>
    <row r="16" spans="1:18" ht="59.25" customHeight="1">
      <c r="A16" s="50" t="s">
        <v>8</v>
      </c>
      <c r="B16" s="50" t="s">
        <v>59</v>
      </c>
      <c r="C16" s="50" t="s">
        <v>79</v>
      </c>
      <c r="D16" s="50" t="s">
        <v>55</v>
      </c>
      <c r="E16" s="57" t="s">
        <v>80</v>
      </c>
      <c r="F16" s="58" t="s">
        <v>78</v>
      </c>
      <c r="G16" s="79" t="s">
        <v>122</v>
      </c>
      <c r="H16" s="79" t="s">
        <v>123</v>
      </c>
      <c r="I16" s="79" t="s">
        <v>124</v>
      </c>
      <c r="J16" s="79" t="s">
        <v>123</v>
      </c>
      <c r="K16" s="549" t="s">
        <v>13</v>
      </c>
      <c r="L16" s="549"/>
      <c r="M16" s="549" t="s">
        <v>68</v>
      </c>
      <c r="N16" s="549"/>
      <c r="O16" s="39"/>
      <c r="P16" s="39"/>
      <c r="Q16" s="39"/>
      <c r="R16" s="39"/>
    </row>
    <row r="17" spans="1:14">
      <c r="A17" s="42">
        <f>'Исходные данные'!B16</f>
        <v>0</v>
      </c>
      <c r="B17" s="42">
        <f>IF(OR('Исходные данные'!Z17=1,'Исходные данные'!AA17=1),'Исходные данные'!I16,0)</f>
        <v>0</v>
      </c>
      <c r="C17" s="42">
        <f>IF(OR('Исходные данные'!Z17=1,'Исходные данные'!AA17=1),'Исходные данные'!U16,0)</f>
        <v>0</v>
      </c>
      <c r="D17" s="42">
        <f>IF(OR('Исходные данные'!Z17=1,'Исходные данные'!AA17=1),'Исходные данные'!J16,0)</f>
        <v>0</v>
      </c>
      <c r="E17" s="52">
        <f>IF(OR('Исходные данные'!Z17=1,'Исходные данные'!AA17=1),'Исходные данные'!U16,0)</f>
        <v>0</v>
      </c>
      <c r="F17" s="59">
        <f>IF('Исходные данные'!Z17=1,"МРЗ",IF('Исходные данные'!AA17=1,"МРП",0))</f>
        <v>0</v>
      </c>
      <c r="G17" s="86"/>
      <c r="H17" s="86"/>
      <c r="I17" s="86"/>
      <c r="J17" s="86"/>
      <c r="K17">
        <f>IF(B17&gt;0,'Исходные данные'!U16*МРП!$K$15,0)</f>
        <v>0</v>
      </c>
      <c r="L17">
        <f>IF(D17&gt;0,'Исходные данные'!U16*МРП!$K$15,0)</f>
        <v>0</v>
      </c>
      <c r="M17">
        <f>IF(B17&gt;0,C17*$M$15,0)</f>
        <v>0</v>
      </c>
      <c r="N17">
        <f>IF(D17&gt;0,E17*$M$15,0)</f>
        <v>0</v>
      </c>
    </row>
    <row r="18" spans="1:14">
      <c r="A18" s="42">
        <f>'Исходные данные'!B17</f>
        <v>0</v>
      </c>
      <c r="B18" s="59">
        <f>IF(OR('Исходные данные'!Z18=1,'Исходные данные'!AA18=1),'Исходные данные'!I17,0)</f>
        <v>0</v>
      </c>
      <c r="C18" s="59">
        <f>IF(OR('Исходные данные'!Z18=1,'Исходные данные'!AA18=1),'Исходные данные'!U17,0)</f>
        <v>0</v>
      </c>
      <c r="D18" s="59">
        <f>IF(OR('Исходные данные'!Z18=1,'Исходные данные'!AA18=1),'Исходные данные'!J17,0)</f>
        <v>0</v>
      </c>
      <c r="E18" s="52">
        <f>IF(OR('Исходные данные'!Z18=1,'Исходные данные'!AA18=1),'Исходные данные'!U17,0)</f>
        <v>0</v>
      </c>
      <c r="F18" s="59">
        <f>IF('Исходные данные'!Z18=1,"МРЗ",IF('Исходные данные'!AA18=1,"МРП",0))</f>
        <v>0</v>
      </c>
      <c r="G18" s="82"/>
      <c r="H18" s="82"/>
      <c r="I18" s="4"/>
      <c r="J18" s="4"/>
      <c r="K18">
        <f>IF(B18&gt;0,'Исходные данные'!U17*МРП!$K$15,0)</f>
        <v>0</v>
      </c>
      <c r="L18">
        <f>IF(D18&gt;0,'Исходные данные'!U17*МРП!$K$15,0)</f>
        <v>0</v>
      </c>
      <c r="M18">
        <f t="shared" ref="M18:M31" si="0">IF(B18&gt;0,C18*$M$15,0)</f>
        <v>0</v>
      </c>
      <c r="N18">
        <f t="shared" ref="N18:N31" si="1">IF(D18&gt;0,E18*$M$15,0)</f>
        <v>0</v>
      </c>
    </row>
    <row r="19" spans="1:14">
      <c r="A19" s="42">
        <f>'Исходные данные'!B18</f>
        <v>0</v>
      </c>
      <c r="B19" s="59">
        <f>IF(OR('Исходные данные'!Z19=1,'Исходные данные'!AA19=1),'Исходные данные'!I18,0)</f>
        <v>0</v>
      </c>
      <c r="C19" s="59">
        <f>IF(OR('Исходные данные'!Z19=1,'Исходные данные'!AA19=1),'Исходные данные'!U18,0)</f>
        <v>0</v>
      </c>
      <c r="D19" s="59">
        <f>IF(OR('Исходные данные'!Z19=1,'Исходные данные'!AA19=1),'Исходные данные'!J18,0)</f>
        <v>0</v>
      </c>
      <c r="E19" s="52">
        <f>IF(OR('Исходные данные'!Z19=1,'Исходные данные'!AA19=1),'Исходные данные'!U18,0)</f>
        <v>0</v>
      </c>
      <c r="F19" s="59">
        <f>IF('Исходные данные'!Z19=1,"МРЗ",IF('Исходные данные'!AA19=1,"МРП",0))</f>
        <v>0</v>
      </c>
      <c r="G19" s="82"/>
      <c r="H19" s="82"/>
      <c r="I19" s="4"/>
      <c r="J19" s="4"/>
      <c r="K19">
        <f>IF(B19&gt;0,'Исходные данные'!U18*МРП!$K$15,0)</f>
        <v>0</v>
      </c>
      <c r="L19">
        <f>IF(D19&gt;0,'Исходные данные'!U18*МРП!$K$15,0)</f>
        <v>0</v>
      </c>
      <c r="M19">
        <f t="shared" si="0"/>
        <v>0</v>
      </c>
      <c r="N19">
        <f t="shared" si="1"/>
        <v>0</v>
      </c>
    </row>
    <row r="20" spans="1:14">
      <c r="A20" s="42">
        <f>'Исходные данные'!B19</f>
        <v>0</v>
      </c>
      <c r="B20" s="59">
        <f>IF(OR('Исходные данные'!Z20=1,'Исходные данные'!AA20=1),'Исходные данные'!I19,0)</f>
        <v>0</v>
      </c>
      <c r="C20" s="59">
        <f>IF(OR('Исходные данные'!Z20=1,'Исходные данные'!AA20=1),'Исходные данные'!U19,0)</f>
        <v>0</v>
      </c>
      <c r="D20" s="59">
        <f>IF(OR('Исходные данные'!Z20=1,'Исходные данные'!AA20=1),'Исходные данные'!J19,0)</f>
        <v>0</v>
      </c>
      <c r="E20" s="52">
        <f>IF(OR('Исходные данные'!Z20=1,'Исходные данные'!AA20=1),'Исходные данные'!U19,0)</f>
        <v>0</v>
      </c>
      <c r="F20" s="59">
        <f>IF('Исходные данные'!Z20=1,"МРЗ",IF('Исходные данные'!AA20=1,"МРП",0))</f>
        <v>0</v>
      </c>
      <c r="G20" s="82"/>
      <c r="H20" s="82"/>
      <c r="I20" s="4"/>
      <c r="J20" s="4"/>
      <c r="K20">
        <f>IF(B20&gt;0,'Исходные данные'!U19*МРП!$K$15,0)</f>
        <v>0</v>
      </c>
      <c r="L20">
        <f>IF(D20&gt;0,'Исходные данные'!U19*МРП!$K$15,0)</f>
        <v>0</v>
      </c>
      <c r="M20">
        <f t="shared" si="0"/>
        <v>0</v>
      </c>
      <c r="N20">
        <f t="shared" si="1"/>
        <v>0</v>
      </c>
    </row>
    <row r="21" spans="1:14">
      <c r="A21" s="42">
        <f>'Исходные данные'!B20</f>
        <v>0</v>
      </c>
      <c r="B21" s="59">
        <f>IF(OR('Исходные данные'!Z21=1,'Исходные данные'!AA21=1),'Исходные данные'!I20,0)</f>
        <v>0</v>
      </c>
      <c r="C21" s="59">
        <f>IF(OR('Исходные данные'!Z21=1,'Исходные данные'!AA21=1),'Исходные данные'!U20,0)</f>
        <v>0</v>
      </c>
      <c r="D21" s="59">
        <f>IF(OR('Исходные данные'!Z21=1,'Исходные данные'!AA21=1),'Исходные данные'!J20,0)</f>
        <v>0</v>
      </c>
      <c r="E21" s="52">
        <f>IF(OR('Исходные данные'!Z21=1,'Исходные данные'!AA21=1),'Исходные данные'!U20,0)</f>
        <v>0</v>
      </c>
      <c r="F21" s="59">
        <f>IF('Исходные данные'!Z21=1,"МРЗ",IF('Исходные данные'!AA21=1,"МРП",0))</f>
        <v>0</v>
      </c>
      <c r="G21" s="82"/>
      <c r="H21" s="82"/>
      <c r="I21" s="4"/>
      <c r="J21" s="4"/>
      <c r="K21">
        <f>IF(B21&gt;0,'Исходные данные'!U20*МРП!$K$15,0)</f>
        <v>0</v>
      </c>
      <c r="L21">
        <f>IF(D21&gt;0,'Исходные данные'!U20*МРП!$K$15,0)</f>
        <v>0</v>
      </c>
      <c r="M21">
        <f t="shared" si="0"/>
        <v>0</v>
      </c>
      <c r="N21">
        <f t="shared" si="1"/>
        <v>0</v>
      </c>
    </row>
    <row r="22" spans="1:14">
      <c r="A22" s="42">
        <f>'Исходные данные'!B21</f>
        <v>0</v>
      </c>
      <c r="B22" s="59">
        <f>IF(OR('Исходные данные'!Z22=1,'Исходные данные'!AA22=1),'Исходные данные'!I21,0)</f>
        <v>0</v>
      </c>
      <c r="C22" s="59">
        <f>IF(OR('Исходные данные'!Z22=1,'Исходные данные'!AA22=1),'Исходные данные'!U21,0)</f>
        <v>0</v>
      </c>
      <c r="D22" s="59">
        <f>IF(OR('Исходные данные'!Z22=1,'Исходные данные'!AA22=1),'Исходные данные'!J21,0)</f>
        <v>0</v>
      </c>
      <c r="E22" s="52">
        <f>IF(OR('Исходные данные'!Z22=1,'Исходные данные'!AA22=1),'Исходные данные'!U21,0)</f>
        <v>0</v>
      </c>
      <c r="F22" s="59">
        <f>IF('Исходные данные'!Z22=1,"МРЗ",IF('Исходные данные'!AA22=1,"МРП",0))</f>
        <v>0</v>
      </c>
      <c r="G22" s="82"/>
      <c r="H22" s="82"/>
      <c r="I22" s="4"/>
      <c r="J22" s="4"/>
      <c r="K22">
        <f>IF(B22&gt;0,'Исходные данные'!U21*МРП!$K$15,0)</f>
        <v>0</v>
      </c>
      <c r="L22">
        <f>IF(D22&gt;0,'Исходные данные'!U21*МРП!$K$15,0)</f>
        <v>0</v>
      </c>
      <c r="M22">
        <f t="shared" si="0"/>
        <v>0</v>
      </c>
      <c r="N22">
        <f t="shared" si="1"/>
        <v>0</v>
      </c>
    </row>
    <row r="23" spans="1:14">
      <c r="A23" s="42">
        <f>'Исходные данные'!B22</f>
        <v>0</v>
      </c>
      <c r="B23" s="59">
        <f>IF(OR('Исходные данные'!Z23=1,'Исходные данные'!AA23=1),'Исходные данные'!I22,0)</f>
        <v>0</v>
      </c>
      <c r="C23" s="59">
        <f>IF(OR('Исходные данные'!Z23=1,'Исходные данные'!AA23=1),'Исходные данные'!U22,0)</f>
        <v>0</v>
      </c>
      <c r="D23" s="59">
        <f>IF(OR('Исходные данные'!Z23=1,'Исходные данные'!AA23=1),'Исходные данные'!J22,0)</f>
        <v>0</v>
      </c>
      <c r="E23" s="52">
        <f>IF(OR('Исходные данные'!Z23=1,'Исходные данные'!AA23=1),'Исходные данные'!U22,0)</f>
        <v>0</v>
      </c>
      <c r="F23" s="59">
        <f>IF('Исходные данные'!Z23=1,"МРЗ",IF('Исходные данные'!AA23=1,"МРП",0))</f>
        <v>0</v>
      </c>
      <c r="G23" s="82"/>
      <c r="H23" s="82"/>
      <c r="I23" s="4"/>
      <c r="J23" s="4"/>
      <c r="K23">
        <f>IF(B23&gt;0,'Исходные данные'!U22*МРП!$K$15,0)</f>
        <v>0</v>
      </c>
      <c r="L23">
        <f>IF(D23&gt;0,'Исходные данные'!U22*МРП!$K$15,0)</f>
        <v>0</v>
      </c>
      <c r="M23">
        <f t="shared" si="0"/>
        <v>0</v>
      </c>
      <c r="N23">
        <f t="shared" si="1"/>
        <v>0</v>
      </c>
    </row>
    <row r="24" spans="1:14">
      <c r="A24" s="42">
        <f>'Исходные данные'!B23</f>
        <v>0</v>
      </c>
      <c r="B24" s="59">
        <f>IF(OR('Исходные данные'!Z24=1,'Исходные данные'!AA24=1),'Исходные данные'!I23,0)</f>
        <v>0</v>
      </c>
      <c r="C24" s="59">
        <f>IF(OR('Исходные данные'!Z24=1,'Исходные данные'!AA24=1),'Исходные данные'!U23,0)</f>
        <v>0</v>
      </c>
      <c r="D24" s="59">
        <f>IF(OR('Исходные данные'!Z24=1,'Исходные данные'!AA24=1),'Исходные данные'!J23,0)</f>
        <v>0</v>
      </c>
      <c r="E24" s="52">
        <f>IF(OR('Исходные данные'!Z24=1,'Исходные данные'!AA24=1),'Исходные данные'!U23,0)</f>
        <v>0</v>
      </c>
      <c r="F24" s="59">
        <f>IF('Исходные данные'!Z24=1,"МРЗ",IF('Исходные данные'!AA24=1,"МРП",0))</f>
        <v>0</v>
      </c>
      <c r="G24" s="82"/>
      <c r="H24" s="82"/>
      <c r="I24" s="4"/>
      <c r="J24" s="4"/>
      <c r="K24">
        <f>IF(B24&gt;0,'Исходные данные'!U23*МРП!$K$15,0)</f>
        <v>0</v>
      </c>
      <c r="L24">
        <f>IF(D24&gt;0,'Исходные данные'!U23*МРП!$K$15,0)</f>
        <v>0</v>
      </c>
      <c r="M24">
        <f t="shared" si="0"/>
        <v>0</v>
      </c>
      <c r="N24">
        <f t="shared" si="1"/>
        <v>0</v>
      </c>
    </row>
    <row r="25" spans="1:14">
      <c r="A25" s="42">
        <f>'Исходные данные'!B24</f>
        <v>0</v>
      </c>
      <c r="B25" s="59">
        <f>IF(OR('Исходные данные'!Z25=1,'Исходные данные'!AA25=1),'Исходные данные'!I24,0)</f>
        <v>0</v>
      </c>
      <c r="C25" s="59">
        <f>IF(OR('Исходные данные'!Z25=1,'Исходные данные'!AA25=1),'Исходные данные'!U24,0)</f>
        <v>0</v>
      </c>
      <c r="D25" s="59">
        <f>IF(OR('Исходные данные'!Z25=1,'Исходные данные'!AA25=1),'Исходные данные'!J24,0)</f>
        <v>0</v>
      </c>
      <c r="E25" s="52">
        <f>IF(OR('Исходные данные'!Z25=1,'Исходные данные'!AA25=1),'Исходные данные'!U24,0)</f>
        <v>0</v>
      </c>
      <c r="F25" s="59">
        <f>IF('Исходные данные'!Z25=1,"МРЗ",IF('Исходные данные'!AA25=1,"МРП",0))</f>
        <v>0</v>
      </c>
      <c r="G25" s="82"/>
      <c r="H25" s="82"/>
      <c r="I25" s="4"/>
      <c r="J25" s="4"/>
      <c r="K25">
        <f>IF(B25&gt;0,'Исходные данные'!U24*МРП!$K$15,0)</f>
        <v>0</v>
      </c>
      <c r="L25">
        <f>IF(D25&gt;0,'Исходные данные'!U24*МРП!$K$15,0)</f>
        <v>0</v>
      </c>
      <c r="M25">
        <f t="shared" si="0"/>
        <v>0</v>
      </c>
      <c r="N25">
        <f t="shared" si="1"/>
        <v>0</v>
      </c>
    </row>
    <row r="26" spans="1:14">
      <c r="A26" s="42">
        <f>'Исходные данные'!B25</f>
        <v>0</v>
      </c>
      <c r="B26" s="59">
        <f>IF(OR('Исходные данные'!Z26=1,'Исходные данные'!AA26=1),'Исходные данные'!I25,0)</f>
        <v>0</v>
      </c>
      <c r="C26" s="59">
        <f>IF(OR('Исходные данные'!Z26=1,'Исходные данные'!AA26=1),'Исходные данные'!U25,0)</f>
        <v>0</v>
      </c>
      <c r="D26" s="59">
        <f>IF(OR('Исходные данные'!Z26=1,'Исходные данные'!AA26=1),'Исходные данные'!J25,0)</f>
        <v>0</v>
      </c>
      <c r="E26" s="52">
        <f>IF(OR('Исходные данные'!Z26=1,'Исходные данные'!AA26=1),'Исходные данные'!U25,0)</f>
        <v>0</v>
      </c>
      <c r="F26" s="59">
        <f>IF('Исходные данные'!Z26=1,"МРЗ",IF('Исходные данные'!AA26=1,"МРП",0))</f>
        <v>0</v>
      </c>
      <c r="G26" s="82"/>
      <c r="H26" s="82"/>
      <c r="I26" s="4"/>
      <c r="J26" s="4"/>
      <c r="K26">
        <f>IF(B26&gt;0,'Исходные данные'!U25*МРП!$K$15,0)</f>
        <v>0</v>
      </c>
      <c r="L26">
        <f>IF(D26&gt;0,'Исходные данные'!U25*МРП!$K$15,0)</f>
        <v>0</v>
      </c>
      <c r="M26">
        <f t="shared" si="0"/>
        <v>0</v>
      </c>
      <c r="N26">
        <f t="shared" si="1"/>
        <v>0</v>
      </c>
    </row>
    <row r="27" spans="1:14">
      <c r="A27" s="42">
        <f>'Исходные данные'!B26</f>
        <v>0</v>
      </c>
      <c r="B27" s="59">
        <f>IF(OR('Исходные данные'!Z27=1,'Исходные данные'!AA27=1),'Исходные данные'!I26,0)</f>
        <v>0</v>
      </c>
      <c r="C27" s="59">
        <f>IF(OR('Исходные данные'!Z27=1,'Исходные данные'!AA27=1),'Исходные данные'!U26,0)</f>
        <v>0</v>
      </c>
      <c r="D27" s="59">
        <f>IF(OR('Исходные данные'!Z27=1,'Исходные данные'!AA27=1),'Исходные данные'!J26,0)</f>
        <v>0</v>
      </c>
      <c r="E27" s="52">
        <f>IF(OR('Исходные данные'!Z27=1,'Исходные данные'!AA27=1),'Исходные данные'!U26,0)</f>
        <v>0</v>
      </c>
      <c r="F27" s="59">
        <f>IF('Исходные данные'!Z27=1,"МРЗ",IF('Исходные данные'!AA27=1,"МРП",0))</f>
        <v>0</v>
      </c>
      <c r="G27" s="82"/>
      <c r="H27" s="82"/>
      <c r="I27" s="4"/>
      <c r="J27" s="4"/>
      <c r="K27">
        <f>IF(B27&gt;0,'Исходные данные'!U26*МРП!$K$15,0)</f>
        <v>0</v>
      </c>
      <c r="L27">
        <f>IF(D27&gt;0,'Исходные данные'!U26*МРП!$K$15,0)</f>
        <v>0</v>
      </c>
      <c r="M27">
        <f t="shared" si="0"/>
        <v>0</v>
      </c>
      <c r="N27">
        <f t="shared" si="1"/>
        <v>0</v>
      </c>
    </row>
    <row r="28" spans="1:14">
      <c r="A28" s="42">
        <f>'Исходные данные'!B27</f>
        <v>0</v>
      </c>
      <c r="B28" s="59">
        <f>IF(OR('Исходные данные'!Z28=1,'Исходные данные'!AA28=1),'Исходные данные'!I27,0)</f>
        <v>0</v>
      </c>
      <c r="C28" s="59">
        <f>IF(OR('Исходные данные'!Z28=1,'Исходные данные'!AA28=1),'Исходные данные'!U27,0)</f>
        <v>0</v>
      </c>
      <c r="D28" s="59">
        <f>IF(OR('Исходные данные'!Z28=1,'Исходные данные'!AA28=1),'Исходные данные'!J27,0)</f>
        <v>0</v>
      </c>
      <c r="E28" s="52">
        <f>IF(OR('Исходные данные'!Z28=1,'Исходные данные'!AA28=1),'Исходные данные'!U27,0)</f>
        <v>0</v>
      </c>
      <c r="F28" s="59">
        <f>IF('Исходные данные'!Z28=1,"МРЗ",IF('Исходные данные'!AA28=1,"МРП",0))</f>
        <v>0</v>
      </c>
      <c r="G28" s="82"/>
      <c r="H28" s="82"/>
      <c r="I28" s="4"/>
      <c r="J28" s="4"/>
      <c r="K28">
        <f>IF(B28&gt;0,'Исходные данные'!U27*МРП!$K$15,0)</f>
        <v>0</v>
      </c>
      <c r="L28">
        <f>IF(D28&gt;0,'Исходные данные'!U27*МРП!$K$15,0)</f>
        <v>0</v>
      </c>
      <c r="M28">
        <f t="shared" si="0"/>
        <v>0</v>
      </c>
      <c r="N28">
        <f t="shared" si="1"/>
        <v>0</v>
      </c>
    </row>
    <row r="29" spans="1:14">
      <c r="A29" s="42">
        <f>'Исходные данные'!B28</f>
        <v>0</v>
      </c>
      <c r="B29" s="59">
        <f>IF(OR('Исходные данные'!Z29=1,'Исходные данные'!AA29=1),'Исходные данные'!I28,0)</f>
        <v>0</v>
      </c>
      <c r="C29" s="59">
        <f>IF(OR('Исходные данные'!Z29=1,'Исходные данные'!AA29=1),'Исходные данные'!U28,0)</f>
        <v>0</v>
      </c>
      <c r="D29" s="59">
        <f>IF(OR('Исходные данные'!Z29=1,'Исходные данные'!AA29=1),'Исходные данные'!J28,0)</f>
        <v>0</v>
      </c>
      <c r="E29" s="52">
        <f>IF(OR('Исходные данные'!Z29=1,'Исходные данные'!AA29=1),'Исходные данные'!U28,0)</f>
        <v>0</v>
      </c>
      <c r="F29" s="59">
        <f>IF('Исходные данные'!Z29=1,"МРЗ",IF('Исходные данные'!AA29=1,"МРП",0))</f>
        <v>0</v>
      </c>
      <c r="G29" s="82"/>
      <c r="H29" s="82"/>
      <c r="I29" s="4"/>
      <c r="J29" s="4"/>
      <c r="K29">
        <f>IF(B29&gt;0,'Исходные данные'!U28*МРП!$K$15,0)</f>
        <v>0</v>
      </c>
      <c r="L29">
        <f>IF(D29&gt;0,'Исходные данные'!U28*МРП!$K$15,0)</f>
        <v>0</v>
      </c>
      <c r="M29">
        <f t="shared" si="0"/>
        <v>0</v>
      </c>
      <c r="N29">
        <f t="shared" si="1"/>
        <v>0</v>
      </c>
    </row>
    <row r="30" spans="1:14">
      <c r="A30" s="42">
        <f>'Исходные данные'!B29</f>
        <v>0</v>
      </c>
      <c r="B30" s="59">
        <f>IF(OR('Исходные данные'!Z30=1,'Исходные данные'!AA30=1),'Исходные данные'!I29,0)</f>
        <v>0</v>
      </c>
      <c r="C30" s="59">
        <f>IF(OR('Исходные данные'!Z30=1,'Исходные данные'!AA30=1),'Исходные данные'!U29,0)</f>
        <v>0</v>
      </c>
      <c r="D30" s="59">
        <f>IF(OR('Исходные данные'!Z30=1,'Исходные данные'!AA30=1),'Исходные данные'!J29,0)</f>
        <v>0</v>
      </c>
      <c r="E30" s="52">
        <f>IF(OR('Исходные данные'!Z30=1,'Исходные данные'!AA30=1),'Исходные данные'!U29,0)</f>
        <v>0</v>
      </c>
      <c r="F30" s="59">
        <f>IF('Исходные данные'!Z30=1,"МРЗ",IF('Исходные данные'!AA30=1,"МРП",0))</f>
        <v>0</v>
      </c>
      <c r="G30" s="82"/>
      <c r="H30" s="82"/>
      <c r="I30" s="4"/>
      <c r="J30" s="4"/>
      <c r="K30">
        <f>IF(B30&gt;0,'Исходные данные'!U29*МРП!$K$15,0)</f>
        <v>0</v>
      </c>
      <c r="L30">
        <f>IF(D30&gt;0,'Исходные данные'!U29*МРП!$K$15,0)</f>
        <v>0</v>
      </c>
      <c r="M30">
        <f t="shared" si="0"/>
        <v>0</v>
      </c>
      <c r="N30">
        <f t="shared" si="1"/>
        <v>0</v>
      </c>
    </row>
    <row r="31" spans="1:14">
      <c r="A31" s="42">
        <f>'Исходные данные'!B30</f>
        <v>0</v>
      </c>
      <c r="B31" s="59" t="e">
        <f>IF(OR('Исходные данные'!#REF!=1,'Исходные данные'!#REF!=1),'Исходные данные'!I30,0)</f>
        <v>#REF!</v>
      </c>
      <c r="C31" s="59" t="e">
        <f>IF(OR('Исходные данные'!#REF!=1,'Исходные данные'!#REF!=1),'Исходные данные'!U30,0)</f>
        <v>#REF!</v>
      </c>
      <c r="D31" s="59" t="e">
        <f>IF(OR('Исходные данные'!#REF!=1,'Исходные данные'!#REF!=1),'Исходные данные'!J30,0)</f>
        <v>#REF!</v>
      </c>
      <c r="E31" s="52" t="e">
        <f>IF(OR('Исходные данные'!#REF!=1,'Исходные данные'!#REF!=1),'Исходные данные'!U30,0)</f>
        <v>#REF!</v>
      </c>
      <c r="F31" s="59" t="e">
        <f>IF('Исходные данные'!#REF!=1,"МРЗ",IF('Исходные данные'!#REF!=1,"МРП",0))</f>
        <v>#REF!</v>
      </c>
      <c r="G31" s="82"/>
      <c r="H31" s="82"/>
      <c r="I31" s="4"/>
      <c r="J31" s="4"/>
      <c r="K31" t="e">
        <f>IF(B31&gt;0,'Исходные данные'!U30*МРП!$K$15,0)</f>
        <v>#REF!</v>
      </c>
      <c r="L31" t="e">
        <f>IF(D31&gt;0,'Исходные данные'!U30*МРП!$K$15,0)</f>
        <v>#REF!</v>
      </c>
      <c r="M31" t="e">
        <f t="shared" si="0"/>
        <v>#REF!</v>
      </c>
      <c r="N31" t="e">
        <f t="shared" si="1"/>
        <v>#REF!</v>
      </c>
    </row>
    <row r="33" spans="1:12">
      <c r="A33" s="20"/>
      <c r="B33" s="20" t="s">
        <v>68</v>
      </c>
      <c r="C33" s="20" t="s">
        <v>69</v>
      </c>
      <c r="D33" t="e">
        <f>SUM(M17:N31)</f>
        <v>#REF!</v>
      </c>
    </row>
    <row r="34" spans="1:12">
      <c r="A34" s="20"/>
      <c r="B34" s="20"/>
      <c r="C34" s="20"/>
    </row>
    <row r="35" spans="1:12">
      <c r="A35" s="20"/>
      <c r="B35" s="20" t="s">
        <v>13</v>
      </c>
      <c r="C35" s="20" t="s">
        <v>69</v>
      </c>
      <c r="D35" s="96" t="e">
        <f>SUM(K17:L31)</f>
        <v>#REF!</v>
      </c>
    </row>
    <row r="37" spans="1:12" ht="21">
      <c r="A37" s="20"/>
      <c r="B37" s="46" t="s">
        <v>61</v>
      </c>
      <c r="C37" s="46"/>
      <c r="D37" s="46"/>
      <c r="E37" s="46"/>
      <c r="F37" s="46"/>
      <c r="G37" s="46"/>
      <c r="H37" s="46"/>
      <c r="I37" s="46"/>
      <c r="J37" s="20"/>
      <c r="K37" s="20"/>
      <c r="L37" s="20"/>
    </row>
    <row r="38" spans="1:12" ht="18.75">
      <c r="A38" s="20"/>
      <c r="B38" s="40" t="s">
        <v>70</v>
      </c>
      <c r="C38" s="40"/>
      <c r="D38" s="40">
        <f>'Исходные данные'!J12</f>
        <v>4444</v>
      </c>
      <c r="E38" s="40"/>
      <c r="F38" s="40"/>
      <c r="G38" s="40"/>
      <c r="H38" s="40"/>
      <c r="I38" s="40"/>
      <c r="J38" s="20"/>
      <c r="K38" s="20"/>
      <c r="L38" s="20"/>
    </row>
    <row r="39" spans="1:12">
      <c r="A39" s="20"/>
      <c r="B39" s="20" t="s">
        <v>73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 t="s">
        <v>62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20" t="s">
        <v>40</v>
      </c>
      <c r="C42" s="20" t="s">
        <v>45</v>
      </c>
      <c r="D42" s="20"/>
      <c r="E42" s="20" t="s">
        <v>125</v>
      </c>
      <c r="F42" s="20"/>
      <c r="G42" s="20"/>
      <c r="H42" s="20"/>
      <c r="I42" s="20"/>
      <c r="J42" s="20"/>
      <c r="K42" s="20"/>
      <c r="L42" s="20"/>
    </row>
    <row r="43" spans="1:1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20" t="s">
        <v>63</v>
      </c>
      <c r="C44" s="20"/>
      <c r="D44" s="20"/>
      <c r="E44" s="20" t="s">
        <v>125</v>
      </c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 t="s">
        <v>64</v>
      </c>
      <c r="C46" s="20"/>
      <c r="D46" s="20"/>
      <c r="E46" s="20" t="s">
        <v>125</v>
      </c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</sheetData>
  <mergeCells count="2">
    <mergeCell ref="K16:L16"/>
    <mergeCell ref="M16:N16"/>
  </mergeCells>
  <pageMargins left="3.937007874015748E-2" right="3.937007874015748E-2" top="0.74803149606299213" bottom="0.74803149606299213" header="0.31496062992125984" footer="0.31496062992125984"/>
  <pageSetup paperSize="9" scale="7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1:P45"/>
  <sheetViews>
    <sheetView topLeftCell="A4" workbookViewId="0">
      <selection activeCell="F35" sqref="F35"/>
    </sheetView>
  </sheetViews>
  <sheetFormatPr defaultRowHeight="15"/>
  <cols>
    <col min="2" max="2" width="23.85546875" customWidth="1"/>
    <col min="3" max="3" width="11.85546875" customWidth="1"/>
    <col min="4" max="4" width="8.28515625" customWidth="1"/>
    <col min="5" max="5" width="10.28515625" customWidth="1"/>
    <col min="6" max="6" width="13" customWidth="1"/>
    <col min="7" max="7" width="13.28515625" customWidth="1"/>
    <col min="8" max="8" width="13.140625" customWidth="1"/>
    <col min="9" max="10" width="14.7109375" customWidth="1"/>
    <col min="11" max="11" width="3.140625" customWidth="1"/>
    <col min="12" max="12" width="3.85546875" customWidth="1"/>
    <col min="13" max="13" width="5.28515625" customWidth="1"/>
    <col min="14" max="14" width="4.85546875" customWidth="1"/>
  </cols>
  <sheetData>
    <row r="11" spans="1:16" ht="18.75">
      <c r="B11" s="21" t="s">
        <v>60</v>
      </c>
      <c r="F11" s="32">
        <f>'Исходные данные'!J12</f>
        <v>4444</v>
      </c>
      <c r="G11" s="32"/>
      <c r="H11" s="32"/>
    </row>
    <row r="13" spans="1:16" ht="18.75">
      <c r="A13" s="20"/>
      <c r="B13" s="23"/>
      <c r="C13" s="21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6">
      <c r="A14" s="20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6">
      <c r="A15" s="20"/>
      <c r="B15" s="23"/>
      <c r="C15" s="23"/>
      <c r="D15" s="23"/>
      <c r="E15" s="23"/>
      <c r="F15" s="23"/>
      <c r="G15" s="23"/>
      <c r="H15" s="23"/>
      <c r="I15" s="23"/>
      <c r="J15" s="23" t="s">
        <v>13</v>
      </c>
      <c r="K15" s="23"/>
      <c r="L15" s="23"/>
      <c r="M15" s="23"/>
    </row>
    <row r="16" spans="1:16" ht="51">
      <c r="B16" s="54" t="s">
        <v>94</v>
      </c>
      <c r="C16" s="54" t="s">
        <v>4</v>
      </c>
      <c r="D16" s="54" t="s">
        <v>7</v>
      </c>
      <c r="E16" s="54" t="s">
        <v>2</v>
      </c>
      <c r="F16" s="87" t="s">
        <v>122</v>
      </c>
      <c r="G16" s="87" t="s">
        <v>123</v>
      </c>
      <c r="H16" s="87" t="s">
        <v>124</v>
      </c>
      <c r="I16" s="87" t="s">
        <v>123</v>
      </c>
      <c r="J16">
        <v>6.0000000000000001E-3</v>
      </c>
      <c r="P16" t="s">
        <v>95</v>
      </c>
    </row>
    <row r="17" spans="2:16" ht="15.75">
      <c r="B17" s="55" t="str">
        <f>IF('Исходные данные'!Y17=1,"Сетка",IF('Исходные данные'!X17=2,"решетка жалюзийная","---"))</f>
        <v>---</v>
      </c>
      <c r="C17" s="42">
        <f>IF('Исходные данные'!Y17=1,'Исходные данные'!I16,IF('Исходные данные'!X17=2,'Исходные данные'!I16,0))</f>
        <v>0</v>
      </c>
      <c r="D17" s="42">
        <f>IF('Исходные данные'!Y17=1,'Исходные данные'!J16,IF('Исходные данные'!X17=2,'Исходные данные'!J16,0))</f>
        <v>0</v>
      </c>
      <c r="E17" s="60">
        <f>IF('Исходные данные'!Y17=1,'Исходные данные'!U16,IF('Исходные данные'!X17=2,'Исходные данные'!U16,0))</f>
        <v>0</v>
      </c>
      <c r="F17" s="42"/>
      <c r="G17" s="82"/>
      <c r="H17" s="82"/>
      <c r="I17" s="4"/>
      <c r="J17">
        <f>IF('Исходные данные'!X17=2,IF('Исходные данные'!I16&lt;=1000,(((ROUNDDOWN('Исходные данные'!J16/52,0))+4)*$J$16*E17),((ROUNDDOWN('Исходные данные'!J16/52,0)*2+4)*$J$16*E17)),0)</f>
        <v>0</v>
      </c>
      <c r="P17">
        <f>ROUNDDOWN('Исходные данные'!J16/52,0)</f>
        <v>0</v>
      </c>
    </row>
    <row r="18" spans="2:16" ht="15.75">
      <c r="B18" s="55" t="str">
        <f>IF('Исходные данные'!Y18=1,"Сетка",IF('Исходные данные'!X18=2,"решетка жалюзийная","---"))</f>
        <v>---</v>
      </c>
      <c r="C18" s="68">
        <f>IF('Исходные данные'!Y18=1,'Исходные данные'!I17,IF('Исходные данные'!X18=2,'Исходные данные'!I17,0))</f>
        <v>0</v>
      </c>
      <c r="D18" s="68">
        <f>IF('Исходные данные'!Y18=1,'Исходные данные'!J17,IF('Исходные данные'!X18=2,'Исходные данные'!J17,0))</f>
        <v>0</v>
      </c>
      <c r="E18" s="68">
        <f>IF('Исходные данные'!Y18=1,'Исходные данные'!U17,IF('Исходные данные'!X18=2,'Исходные данные'!U17,0))</f>
        <v>0</v>
      </c>
      <c r="F18" s="4"/>
      <c r="G18" s="4"/>
      <c r="H18" s="4"/>
      <c r="I18" s="4"/>
      <c r="J18">
        <f>IF('Исходные данные'!X18=2,IF('Исходные данные'!I17&lt;=1000,(((ROUNDDOWN('Исходные данные'!J17/52,0))+4)*$J$16*E18),((ROUNDDOWN('Исходные данные'!J17/52,0)*2+4)*$J$16*E18)),0)</f>
        <v>0</v>
      </c>
    </row>
    <row r="19" spans="2:16" ht="15.75">
      <c r="B19" s="55" t="str">
        <f>IF('Исходные данные'!Y19=1,"Сетка",IF('Исходные данные'!X19=2,"решетка жалюзийная","---"))</f>
        <v>---</v>
      </c>
      <c r="C19" s="68">
        <f>IF('Исходные данные'!Y19=1,'Исходные данные'!I18,IF('Исходные данные'!X19=2,'Исходные данные'!I18,0))</f>
        <v>0</v>
      </c>
      <c r="D19" s="68">
        <f>IF('Исходные данные'!Y19=1,'Исходные данные'!J18,IF('Исходные данные'!X19=2,'Исходные данные'!J18,0))</f>
        <v>0</v>
      </c>
      <c r="E19" s="68">
        <f>IF('Исходные данные'!Y19=1,'Исходные данные'!U18,IF('Исходные данные'!X19=2,'Исходные данные'!U18,0))</f>
        <v>0</v>
      </c>
      <c r="F19" s="4"/>
      <c r="G19" s="4"/>
      <c r="H19" s="4"/>
      <c r="I19" s="4"/>
      <c r="J19">
        <f>IF('Исходные данные'!X19=2,IF('Исходные данные'!I18&lt;=1000,(((ROUNDDOWN('Исходные данные'!J18/52,0))+4)*$J$16*E19),((ROUNDDOWN('Исходные данные'!J18/52,0)*2+4)*$J$16*E19)),0)</f>
        <v>0</v>
      </c>
    </row>
    <row r="20" spans="2:16" ht="15.75">
      <c r="B20" s="55" t="str">
        <f>IF('Исходные данные'!Y20=1,"Сетка",IF('Исходные данные'!X20=2,"решетка жалюзийная","---"))</f>
        <v>---</v>
      </c>
      <c r="C20" s="68">
        <f>IF('Исходные данные'!Y20=1,'Исходные данные'!I19,IF('Исходные данные'!X20=2,'Исходные данные'!I19,0))</f>
        <v>0</v>
      </c>
      <c r="D20" s="68">
        <f>IF('Исходные данные'!Y20=1,'Исходные данные'!J19,IF('Исходные данные'!X20=2,'Исходные данные'!J19,0))</f>
        <v>0</v>
      </c>
      <c r="E20" s="68">
        <f>IF('Исходные данные'!Y20=1,'Исходные данные'!U19,IF('Исходные данные'!X20=2,'Исходные данные'!U19,0))</f>
        <v>0</v>
      </c>
      <c r="F20" s="4"/>
      <c r="G20" s="4"/>
      <c r="H20" s="4"/>
      <c r="I20" s="4"/>
      <c r="J20">
        <f>IF('Исходные данные'!X20=2,IF('Исходные данные'!I19&lt;=1000,(((ROUNDDOWN('Исходные данные'!J19/52,0))+4)*$J$16*E20),((ROUNDDOWN('Исходные данные'!J19/52,0)*2+4)*$J$16*E20)),0)</f>
        <v>0</v>
      </c>
    </row>
    <row r="21" spans="2:16" ht="15.75">
      <c r="B21" s="55" t="str">
        <f>IF('Исходные данные'!Y21=1,"Сетка",IF('Исходные данные'!X21=2,"решетка жалюзийная","---"))</f>
        <v>---</v>
      </c>
      <c r="C21" s="68">
        <f>IF('Исходные данные'!Y21=1,'Исходные данные'!I20,IF('Исходные данные'!X21=2,'Исходные данные'!I20,0))</f>
        <v>0</v>
      </c>
      <c r="D21" s="68">
        <f>IF('Исходные данные'!Y21=1,'Исходные данные'!J20,IF('Исходные данные'!X21=2,'Исходные данные'!J20,0))</f>
        <v>0</v>
      </c>
      <c r="E21" s="68">
        <f>IF('Исходные данные'!Y21=1,'Исходные данные'!U20,IF('Исходные данные'!X21=2,'Исходные данные'!U20,0))</f>
        <v>0</v>
      </c>
      <c r="F21" s="4"/>
      <c r="G21" s="4"/>
      <c r="H21" s="4"/>
      <c r="I21" s="4"/>
      <c r="J21">
        <f>IF('Исходные данные'!X21=2,IF('Исходные данные'!I20&lt;=1000,(((ROUNDDOWN('Исходные данные'!J20/52,0))+4)*$J$16*E21),((ROUNDDOWN('Исходные данные'!J20/52,0)*2+4)*$J$16*E21)),0)</f>
        <v>0</v>
      </c>
    </row>
    <row r="22" spans="2:16" ht="15.75">
      <c r="B22" s="55" t="str">
        <f>IF('Исходные данные'!Y22=1,"Сетка",IF('Исходные данные'!X22=2,"решетка жалюзийная","---"))</f>
        <v>---</v>
      </c>
      <c r="C22" s="68">
        <f>IF('Исходные данные'!Y22=1,'Исходные данные'!I21,IF('Исходные данные'!X22=2,'Исходные данные'!I21,0))</f>
        <v>0</v>
      </c>
      <c r="D22" s="68">
        <f>IF('Исходные данные'!Y22=1,'Исходные данные'!J21,IF('Исходные данные'!X22=2,'Исходные данные'!J21,0))</f>
        <v>0</v>
      </c>
      <c r="E22" s="68">
        <f>IF('Исходные данные'!Y22=1,'Исходные данные'!U21,IF('Исходные данные'!X22=2,'Исходные данные'!U21,0))</f>
        <v>0</v>
      </c>
      <c r="F22" s="4"/>
      <c r="G22" s="4"/>
      <c r="H22" s="4"/>
      <c r="I22" s="4"/>
      <c r="J22">
        <f>IF('Исходные данные'!X22=2,IF('Исходные данные'!I21&lt;=1000,(((ROUNDDOWN('Исходные данные'!J21/52,0))+4)*$J$16*E22),((ROUNDDOWN('Исходные данные'!J21/52,0)*2+4)*$J$16*E22)),0)</f>
        <v>0</v>
      </c>
    </row>
    <row r="23" spans="2:16" ht="15.75">
      <c r="B23" s="55" t="str">
        <f>IF('Исходные данные'!Y23=1,"Сетка",IF('Исходные данные'!X23=2,"решетка жалюзийная","---"))</f>
        <v>---</v>
      </c>
      <c r="C23" s="68">
        <f>IF('Исходные данные'!Y23=1,'Исходные данные'!I22,IF('Исходные данные'!X23=2,'Исходные данные'!I22,0))</f>
        <v>0</v>
      </c>
      <c r="D23" s="68">
        <f>IF('Исходные данные'!Y23=1,'Исходные данные'!J22,IF('Исходные данные'!X23=2,'Исходные данные'!J22,0))</f>
        <v>0</v>
      </c>
      <c r="E23" s="68">
        <f>IF('Исходные данные'!Y23=1,'Исходные данные'!U22,IF('Исходные данные'!X23=2,'Исходные данные'!U22,0))</f>
        <v>0</v>
      </c>
      <c r="F23" s="4"/>
      <c r="G23" s="4"/>
      <c r="H23" s="4"/>
      <c r="I23" s="4"/>
      <c r="J23">
        <f>IF('Исходные данные'!X23=2,IF('Исходные данные'!I22&lt;=1000,(((ROUNDDOWN('Исходные данные'!J22/52,0))+4)*$J$16*E23),((ROUNDDOWN('Исходные данные'!J22/52,0)*2+4)*$J$16*E23)),0)</f>
        <v>0</v>
      </c>
    </row>
    <row r="24" spans="2:16" ht="15.75">
      <c r="B24" s="55" t="str">
        <f>IF('Исходные данные'!Y24=1,"Сетка",IF('Исходные данные'!X24=2,"решетка жалюзийная","---"))</f>
        <v>---</v>
      </c>
      <c r="C24" s="68">
        <f>IF('Исходные данные'!Y24=1,'Исходные данные'!I23,IF('Исходные данные'!X24=2,'Исходные данные'!I23,0))</f>
        <v>0</v>
      </c>
      <c r="D24" s="68">
        <f>IF('Исходные данные'!Y24=1,'Исходные данные'!J23,IF('Исходные данные'!X24=2,'Исходные данные'!J23,0))</f>
        <v>0</v>
      </c>
      <c r="E24" s="68">
        <f>IF('Исходные данные'!Y24=1,'Исходные данные'!U23,IF('Исходные данные'!X24=2,'Исходные данные'!U23,0))</f>
        <v>0</v>
      </c>
      <c r="F24" s="4"/>
      <c r="G24" s="4"/>
      <c r="H24" s="4"/>
      <c r="I24" s="4"/>
      <c r="J24">
        <f>IF('Исходные данные'!X24=2,IF('Исходные данные'!I23&lt;=1000,(((ROUNDDOWN('Исходные данные'!J23/52,0))+4)*$J$16*E24),((ROUNDDOWN('Исходные данные'!J23/52,0)*2+4)*$J$16*E24)),0)</f>
        <v>0</v>
      </c>
    </row>
    <row r="25" spans="2:16" ht="15.75">
      <c r="B25" s="55" t="str">
        <f>IF('Исходные данные'!Y25=1,"Сетка",IF('Исходные данные'!X25=2,"решетка жалюзийная","---"))</f>
        <v>---</v>
      </c>
      <c r="C25" s="68">
        <f>IF('Исходные данные'!Y25=1,'Исходные данные'!I24,IF('Исходные данные'!X25=2,'Исходные данные'!I24,0))</f>
        <v>0</v>
      </c>
      <c r="D25" s="68">
        <f>IF('Исходные данные'!Y25=1,'Исходные данные'!J24,IF('Исходные данные'!X25=2,'Исходные данные'!J24,0))</f>
        <v>0</v>
      </c>
      <c r="E25" s="68">
        <f>IF('Исходные данные'!Y25=1,'Исходные данные'!U24,IF('Исходные данные'!X25=2,'Исходные данные'!U24,0))</f>
        <v>0</v>
      </c>
      <c r="F25" s="4"/>
      <c r="G25" s="4"/>
      <c r="H25" s="4"/>
      <c r="I25" s="4"/>
      <c r="J25">
        <f>IF('Исходные данные'!X25=2,IF('Исходные данные'!I24&lt;=1000,(((ROUNDDOWN('Исходные данные'!J24/52,0))+4)*$J$16*E25),((ROUNDDOWN('Исходные данные'!J24/52,0)*2+4)*$J$16*E25)),0)</f>
        <v>0</v>
      </c>
    </row>
    <row r="26" spans="2:16" ht="15.75">
      <c r="B26" s="55" t="str">
        <f>IF('Исходные данные'!Y26=1,"Сетка",IF('Исходные данные'!X26=2,"решетка жалюзийная","---"))</f>
        <v>---</v>
      </c>
      <c r="C26" s="68">
        <f>IF('Исходные данные'!Y26=1,'Исходные данные'!I25,IF('Исходные данные'!X26=2,'Исходные данные'!I25,0))</f>
        <v>0</v>
      </c>
      <c r="D26" s="68">
        <f>IF('Исходные данные'!Y26=1,'Исходные данные'!J25,IF('Исходные данные'!X26=2,'Исходные данные'!J25,0))</f>
        <v>0</v>
      </c>
      <c r="E26" s="68">
        <f>IF('Исходные данные'!Y26=1,'Исходные данные'!U25,IF('Исходные данные'!X26=2,'Исходные данные'!U25,0))</f>
        <v>0</v>
      </c>
      <c r="F26" s="4"/>
      <c r="G26" s="4"/>
      <c r="H26" s="4"/>
      <c r="I26" s="4"/>
      <c r="J26">
        <f>IF('Исходные данные'!X26=2,IF('Исходные данные'!I25&lt;=1000,(((ROUNDDOWN('Исходные данные'!J25/52,0))+4)*$J$16*E26),((ROUNDDOWN('Исходные данные'!J25/52,0)*2+4)*$J$16*E26)),0)</f>
        <v>0</v>
      </c>
    </row>
    <row r="27" spans="2:16" ht="15.75">
      <c r="B27" s="55" t="str">
        <f>IF('Исходные данные'!Y27=1,"Сетка",IF('Исходные данные'!X27=2,"решетка жалюзийная","---"))</f>
        <v>---</v>
      </c>
      <c r="C27" s="68">
        <f>IF('Исходные данные'!Y27=1,'Исходные данные'!I26,IF('Исходные данные'!X27=2,'Исходные данные'!I26,0))</f>
        <v>0</v>
      </c>
      <c r="D27" s="68">
        <f>IF('Исходные данные'!Y27=1,'Исходные данные'!J26,IF('Исходные данные'!X27=2,'Исходные данные'!J26,0))</f>
        <v>0</v>
      </c>
      <c r="E27" s="68">
        <f>IF('Исходные данные'!Y27=1,'Исходные данные'!U26,IF('Исходные данные'!X27=2,'Исходные данные'!U26,0))</f>
        <v>0</v>
      </c>
      <c r="F27" s="4"/>
      <c r="G27" s="4"/>
      <c r="H27" s="4"/>
      <c r="I27" s="4"/>
      <c r="J27">
        <f>IF('Исходные данные'!X27=2,IF('Исходные данные'!I26&lt;=1000,(((ROUNDDOWN('Исходные данные'!J26/52,0))+4)*$J$16*E27),((ROUNDDOWN('Исходные данные'!J26/52,0)*2+4)*$J$16*E27)),0)</f>
        <v>0</v>
      </c>
    </row>
    <row r="28" spans="2:16" ht="15.75">
      <c r="B28" s="55" t="str">
        <f>IF('Исходные данные'!Y28=1,"Сетка",IF('Исходные данные'!X28=2,"решетка жалюзийная","---"))</f>
        <v>---</v>
      </c>
      <c r="C28" s="68">
        <f>IF('Исходные данные'!Y28=1,'Исходные данные'!I27,IF('Исходные данные'!X28=2,'Исходные данные'!I27,0))</f>
        <v>0</v>
      </c>
      <c r="D28" s="68">
        <f>IF('Исходные данные'!Y28=1,'Исходные данные'!J27,IF('Исходные данные'!X28=2,'Исходные данные'!J27,0))</f>
        <v>0</v>
      </c>
      <c r="E28" s="68">
        <f>IF('Исходные данные'!Y28=1,'Исходные данные'!U27,IF('Исходные данные'!X28=2,'Исходные данные'!U27,0))</f>
        <v>0</v>
      </c>
      <c r="F28" s="4"/>
      <c r="G28" s="4"/>
      <c r="H28" s="4"/>
      <c r="I28" s="4"/>
      <c r="J28">
        <f>IF('Исходные данные'!X28=2,IF('Исходные данные'!I27&lt;=1000,(((ROUNDDOWN('Исходные данные'!J27/52,0))+4)*$J$16*E28),((ROUNDDOWN('Исходные данные'!J27/52,0)*2+4)*$J$16*E28)),0)</f>
        <v>0</v>
      </c>
    </row>
    <row r="29" spans="2:16" ht="15.75">
      <c r="B29" s="55" t="str">
        <f>IF('Исходные данные'!Y29=1,"Сетка",IF('Исходные данные'!X29=2,"решетка жалюзийная","---"))</f>
        <v>---</v>
      </c>
      <c r="C29" s="68">
        <f>IF('Исходные данные'!Y29=1,'Исходные данные'!I28,IF('Исходные данные'!X29=2,'Исходные данные'!I28,0))</f>
        <v>0</v>
      </c>
      <c r="D29" s="68">
        <f>IF('Исходные данные'!Y29=1,'Исходные данные'!J28,IF('Исходные данные'!X29=2,'Исходные данные'!J28,0))</f>
        <v>0</v>
      </c>
      <c r="E29" s="68">
        <f>IF('Исходные данные'!Y29=1,'Исходные данные'!U28,IF('Исходные данные'!X29=2,'Исходные данные'!U28,0))</f>
        <v>0</v>
      </c>
      <c r="F29" s="4"/>
      <c r="G29" s="4"/>
      <c r="H29" s="4"/>
      <c r="I29" s="4"/>
      <c r="J29">
        <f>IF('Исходные данные'!X29=2,IF('Исходные данные'!I28&lt;=1000,(((ROUNDDOWN('Исходные данные'!J28/52,0))+4)*$J$16*E29),((ROUNDDOWN('Исходные данные'!J28/52,0)*2+4)*$J$16*E29)),0)</f>
        <v>0</v>
      </c>
    </row>
    <row r="30" spans="2:16" ht="15.75">
      <c r="B30" s="55" t="str">
        <f>IF('Исходные данные'!Y30=1,"Сетка",IF('Исходные данные'!X30=2,"решетка жалюзийная","---"))</f>
        <v>---</v>
      </c>
      <c r="C30" s="68">
        <f>IF('Исходные данные'!Y30=1,'Исходные данные'!I29,IF('Исходные данные'!X30=2,'Исходные данные'!I29,0))</f>
        <v>0</v>
      </c>
      <c r="D30" s="68">
        <f>IF('Исходные данные'!Y30=1,'Исходные данные'!J29,IF('Исходные данные'!X30=2,'Исходные данные'!J29,0))</f>
        <v>0</v>
      </c>
      <c r="E30" s="68">
        <f>IF('Исходные данные'!Y30=1,'Исходные данные'!U29,IF('Исходные данные'!X30=2,'Исходные данные'!U29,0))</f>
        <v>0</v>
      </c>
      <c r="F30" s="4"/>
      <c r="G30" s="4"/>
      <c r="H30" s="4"/>
      <c r="I30" s="4"/>
      <c r="J30">
        <f>IF('Исходные данные'!X30=2,IF('Исходные данные'!I29&lt;=1000,(((ROUNDDOWN('Исходные данные'!J29/52,0))+4)*$J$16*E30),((ROUNDDOWN('Исходные данные'!J29/52,0)*2+4)*$J$16*E30)),0)</f>
        <v>0</v>
      </c>
    </row>
    <row r="31" spans="2:16" ht="15.75">
      <c r="B31" s="55" t="e">
        <f>IF('Исходные данные'!#REF!=1,"Сетка",IF('Исходные данные'!#REF!=2,"решетка жалюзийная","---"))</f>
        <v>#REF!</v>
      </c>
      <c r="C31" s="68" t="e">
        <f>IF('Исходные данные'!#REF!=1,'Исходные данные'!I30,IF('Исходные данные'!#REF!=2,'Исходные данные'!I30,0))</f>
        <v>#REF!</v>
      </c>
      <c r="D31" s="68" t="e">
        <f>IF('Исходные данные'!#REF!=1,'Исходные данные'!J30,IF('Исходные данные'!#REF!=2,'Исходные данные'!J30,0))</f>
        <v>#REF!</v>
      </c>
      <c r="E31" s="68" t="e">
        <f>IF('Исходные данные'!#REF!=1,'Исходные данные'!U30,IF('Исходные данные'!#REF!=2,'Исходные данные'!U30,0))</f>
        <v>#REF!</v>
      </c>
      <c r="F31" s="4"/>
      <c r="G31" s="4"/>
      <c r="H31" s="4"/>
      <c r="I31" s="4"/>
      <c r="J31" t="e">
        <f>IF('Исходные данные'!#REF!=2,IF('Исходные данные'!I30&lt;=1000,(((ROUNDDOWN('Исходные данные'!J30/52,0))+4)*$J$16*E31),((ROUNDDOWN('Исходные данные'!J30/52,0)*2+4)*$J$16*E31)),0)</f>
        <v>#REF!</v>
      </c>
    </row>
    <row r="33" spans="1:12">
      <c r="B33" s="20"/>
      <c r="C33" s="20" t="s">
        <v>68</v>
      </c>
      <c r="D33" s="20" t="s">
        <v>69</v>
      </c>
    </row>
    <row r="34" spans="1:12">
      <c r="B34" s="20"/>
      <c r="C34" s="20"/>
      <c r="D34" s="20"/>
    </row>
    <row r="35" spans="1:12">
      <c r="C35" t="s">
        <v>13</v>
      </c>
      <c r="D35" t="s">
        <v>69</v>
      </c>
      <c r="F35" s="96">
        <v>0</v>
      </c>
    </row>
    <row r="36" spans="1:12" ht="21">
      <c r="A36" s="20"/>
      <c r="B36" s="46" t="s">
        <v>61</v>
      </c>
      <c r="C36" s="46"/>
      <c r="D36" s="46"/>
      <c r="E36" s="46"/>
      <c r="F36" s="46"/>
      <c r="G36" s="46"/>
      <c r="H36" s="46"/>
      <c r="I36" s="46"/>
      <c r="J36" s="20"/>
      <c r="K36" s="20"/>
      <c r="L36" s="20"/>
    </row>
    <row r="37" spans="1:12" ht="18.75">
      <c r="A37" s="20"/>
      <c r="B37" s="40" t="s">
        <v>70</v>
      </c>
      <c r="C37" s="40"/>
      <c r="D37" s="40"/>
      <c r="E37" s="40">
        <f>'Исходные данные'!J12</f>
        <v>4444</v>
      </c>
      <c r="F37" s="40"/>
      <c r="G37" s="40"/>
      <c r="H37" s="40"/>
      <c r="I37" s="40"/>
      <c r="J37" s="20"/>
      <c r="K37" s="20"/>
      <c r="L37" s="20"/>
    </row>
    <row r="38" spans="1:12">
      <c r="A38" s="20"/>
      <c r="B38" s="20" t="s">
        <v>74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>
      <c r="A39" s="20"/>
      <c r="B39" s="20" t="s">
        <v>62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88" t="s">
        <v>40</v>
      </c>
      <c r="C41" s="20" t="s">
        <v>45</v>
      </c>
      <c r="D41" s="20"/>
      <c r="E41" s="20"/>
      <c r="F41" s="20" t="s">
        <v>127</v>
      </c>
      <c r="G41" s="20"/>
      <c r="H41" s="20"/>
      <c r="I41" s="20"/>
      <c r="J41" s="20"/>
      <c r="K41" s="20"/>
      <c r="L41" s="20"/>
    </row>
    <row r="42" spans="1:12">
      <c r="A42" s="20"/>
      <c r="B42" s="88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>
      <c r="A43" s="20"/>
      <c r="B43" s="88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>
      <c r="A44" s="20"/>
      <c r="B44" s="88" t="s">
        <v>126</v>
      </c>
      <c r="C44" s="20" t="s">
        <v>45</v>
      </c>
      <c r="D44" s="20"/>
      <c r="E44" s="20"/>
      <c r="F44" s="20" t="s">
        <v>127</v>
      </c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</sheetData>
  <pageMargins left="7.874015748031496E-2" right="7.874015748031496E-2" top="0.74803149606299213" bottom="0.74803149606299213" header="0.31496062992125984" footer="0.31496062992125984"/>
  <pageSetup paperSize="9"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5:R45"/>
  <sheetViews>
    <sheetView workbookViewId="0">
      <selection activeCell="C10" sqref="C10"/>
    </sheetView>
  </sheetViews>
  <sheetFormatPr defaultRowHeight="15"/>
  <cols>
    <col min="2" max="2" width="15.28515625" customWidth="1"/>
    <col min="4" max="4" width="7" customWidth="1"/>
    <col min="5" max="5" width="5.85546875" customWidth="1"/>
    <col min="6" max="6" width="12.140625" customWidth="1"/>
    <col min="7" max="7" width="7.7109375" customWidth="1"/>
    <col min="8" max="8" width="8.5703125" customWidth="1"/>
    <col min="9" max="9" width="14.7109375" customWidth="1"/>
    <col min="10" max="10" width="11.140625" customWidth="1"/>
    <col min="11" max="11" width="12.28515625" customWidth="1"/>
    <col min="12" max="12" width="12.7109375" customWidth="1"/>
    <col min="13" max="14" width="7.7109375" customWidth="1"/>
  </cols>
  <sheetData>
    <row r="5" spans="1:18" ht="21">
      <c r="B5" s="33" t="str">
        <f>'Исходные данные'!B12</f>
        <v>Сопроводительный лист</v>
      </c>
      <c r="C5" s="33"/>
      <c r="D5" s="33"/>
      <c r="F5" s="33">
        <f>'Исходные данные'!J12</f>
        <v>4444</v>
      </c>
    </row>
    <row r="7" spans="1:18" ht="21">
      <c r="B7" s="11" t="s">
        <v>139</v>
      </c>
      <c r="C7" s="12"/>
    </row>
    <row r="8" spans="1:18" ht="51" customHeight="1">
      <c r="A8" s="552" t="s">
        <v>8</v>
      </c>
      <c r="B8" s="552" t="s">
        <v>14</v>
      </c>
      <c r="C8" s="6" t="s">
        <v>18</v>
      </c>
      <c r="D8" s="555" t="s">
        <v>4</v>
      </c>
      <c r="E8" s="555" t="s">
        <v>5</v>
      </c>
      <c r="F8" s="538" t="s">
        <v>2</v>
      </c>
      <c r="G8" s="554" t="s">
        <v>15</v>
      </c>
      <c r="H8" s="554"/>
      <c r="I8" s="550" t="s">
        <v>122</v>
      </c>
      <c r="J8" s="550" t="s">
        <v>123</v>
      </c>
      <c r="K8" s="550" t="s">
        <v>124</v>
      </c>
      <c r="L8" s="550" t="s">
        <v>123</v>
      </c>
      <c r="R8" s="71"/>
    </row>
    <row r="9" spans="1:18" ht="31.5" customHeight="1">
      <c r="A9" s="553"/>
      <c r="B9" s="553"/>
      <c r="C9" s="18" t="s">
        <v>23</v>
      </c>
      <c r="D9" s="556"/>
      <c r="E9" s="556"/>
      <c r="F9" s="539"/>
      <c r="G9" s="8" t="s">
        <v>16</v>
      </c>
      <c r="H9" s="8" t="s">
        <v>17</v>
      </c>
      <c r="I9" s="551"/>
      <c r="J9" s="551"/>
      <c r="K9" s="551"/>
      <c r="L9" s="551"/>
      <c r="M9" s="9" t="s">
        <v>10</v>
      </c>
      <c r="N9" s="9" t="s">
        <v>11</v>
      </c>
      <c r="O9" s="3" t="s">
        <v>12</v>
      </c>
      <c r="P9" s="3" t="s">
        <v>13</v>
      </c>
      <c r="R9" s="71"/>
    </row>
    <row r="10" spans="1:18" s="3" customFormat="1">
      <c r="A10" s="8">
        <f>'Исходные данные'!B16</f>
        <v>0</v>
      </c>
      <c r="B10" s="89" t="s">
        <v>132</v>
      </c>
      <c r="C10" s="8">
        <v>599</v>
      </c>
      <c r="D10" s="8">
        <v>42.7</v>
      </c>
      <c r="E10" s="8">
        <v>1</v>
      </c>
      <c r="F10" s="8">
        <f>'Исходные данные'!U16</f>
        <v>0</v>
      </c>
      <c r="G10" s="8">
        <v>15</v>
      </c>
      <c r="H10" s="8">
        <v>9.6999999999999993</v>
      </c>
      <c r="I10" s="81"/>
      <c r="J10" s="81"/>
      <c r="K10" s="81"/>
      <c r="L10" s="81"/>
      <c r="M10" s="9">
        <f>IF(C10&lt;500,0.008*F10,IF(C10&lt;1500,0.014*F10,IF(C10&lt;5000,0.022*F10,IF(C10&lt;2500,0.048*F10,0))))</f>
        <v>0</v>
      </c>
      <c r="N10" s="9">
        <f>F10*0.004*2</f>
        <v>0</v>
      </c>
      <c r="O10" s="3">
        <f>N10+M10</f>
        <v>0</v>
      </c>
      <c r="P10" s="3">
        <f>0.008*F10</f>
        <v>0</v>
      </c>
    </row>
    <row r="11" spans="1:18" s="3" customFormat="1">
      <c r="A11" s="24">
        <f>'Исходные данные'!B17</f>
        <v>0</v>
      </c>
      <c r="B11" s="91" t="s">
        <v>132</v>
      </c>
      <c r="C11" s="72">
        <v>599</v>
      </c>
      <c r="D11" s="91">
        <v>42.7</v>
      </c>
      <c r="E11" s="24">
        <v>1</v>
      </c>
      <c r="F11" s="8">
        <f>'Исходные данные'!U17</f>
        <v>0</v>
      </c>
      <c r="G11" s="63" t="e">
        <f>IF('Исходные данные'!#REF!=3,15,IF('Исходные данные'!#REF!=1,12,0))</f>
        <v>#REF!</v>
      </c>
      <c r="H11" s="91">
        <v>9.6999999999999993</v>
      </c>
      <c r="I11" s="81"/>
      <c r="J11" s="81"/>
      <c r="K11" s="81"/>
      <c r="L11" s="81"/>
      <c r="M11" s="9">
        <f t="shared" ref="M11:M24" si="0">IF(C11&lt;500,0.008*F11,IF(C11&lt;1500,0.014*F11,IF(C11&lt;5000,0.022*F11,IF(C11&lt;2500,0.048*F11,0))))</f>
        <v>0</v>
      </c>
      <c r="N11" s="9">
        <f t="shared" ref="N11:N24" si="1">F11*0.004</f>
        <v>0</v>
      </c>
      <c r="O11" s="3">
        <f t="shared" ref="O11:O24" si="2">N11+M11</f>
        <v>0</v>
      </c>
      <c r="P11" s="3">
        <f t="shared" ref="P11:P24" si="3">0.008*F11</f>
        <v>0</v>
      </c>
      <c r="R11" s="66"/>
    </row>
    <row r="12" spans="1:18" s="3" customFormat="1">
      <c r="A12" s="24">
        <f>'Исходные данные'!B18</f>
        <v>0</v>
      </c>
      <c r="B12" s="93" t="s">
        <v>132</v>
      </c>
      <c r="C12" s="72">
        <v>499</v>
      </c>
      <c r="D12" s="93">
        <v>42.7</v>
      </c>
      <c r="E12" s="93">
        <v>1</v>
      </c>
      <c r="F12" s="8">
        <f>'Исходные данные'!U18</f>
        <v>0</v>
      </c>
      <c r="G12" s="93" t="e">
        <f>IF('Исходные данные'!#REF!=3,15,IF('Исходные данные'!#REF!=1,12,0))</f>
        <v>#REF!</v>
      </c>
      <c r="H12" s="93">
        <v>9.6999999999999993</v>
      </c>
      <c r="I12" s="81"/>
      <c r="J12" s="81"/>
      <c r="K12" s="81"/>
      <c r="L12" s="81"/>
      <c r="M12" s="9">
        <f t="shared" si="0"/>
        <v>0</v>
      </c>
      <c r="N12" s="9">
        <f t="shared" si="1"/>
        <v>0</v>
      </c>
      <c r="O12" s="3">
        <f t="shared" si="2"/>
        <v>0</v>
      </c>
      <c r="P12" s="3">
        <f t="shared" si="3"/>
        <v>0</v>
      </c>
      <c r="R12" s="66"/>
    </row>
    <row r="13" spans="1:18" s="3" customFormat="1">
      <c r="A13" s="24">
        <f>'Исходные данные'!B19</f>
        <v>0</v>
      </c>
      <c r="B13" s="93" t="s">
        <v>132</v>
      </c>
      <c r="C13" s="72">
        <v>699</v>
      </c>
      <c r="D13" s="93">
        <v>42.7</v>
      </c>
      <c r="E13" s="93">
        <v>1</v>
      </c>
      <c r="F13" s="8">
        <f>'Исходные данные'!U19</f>
        <v>0</v>
      </c>
      <c r="G13" s="93" t="e">
        <f>IF('Исходные данные'!#REF!=3,15,IF('Исходные данные'!#REF!=1,12,0))</f>
        <v>#REF!</v>
      </c>
      <c r="H13" s="93">
        <v>9.6999999999999993</v>
      </c>
      <c r="I13" s="81"/>
      <c r="J13" s="81"/>
      <c r="K13" s="81"/>
      <c r="L13" s="81"/>
      <c r="M13" s="9">
        <f t="shared" si="0"/>
        <v>0</v>
      </c>
      <c r="N13" s="9">
        <f t="shared" si="1"/>
        <v>0</v>
      </c>
      <c r="O13" s="3">
        <f t="shared" si="2"/>
        <v>0</v>
      </c>
      <c r="P13" s="3">
        <f t="shared" si="3"/>
        <v>0</v>
      </c>
      <c r="R13" s="66"/>
    </row>
    <row r="14" spans="1:18" s="3" customFormat="1">
      <c r="A14" s="24">
        <f>'Исходные данные'!B20</f>
        <v>0</v>
      </c>
      <c r="B14" s="93"/>
      <c r="C14" s="72"/>
      <c r="D14" s="93"/>
      <c r="E14" s="93"/>
      <c r="F14" s="8"/>
      <c r="G14" s="93"/>
      <c r="H14" s="93"/>
      <c r="I14" s="81"/>
      <c r="J14" s="81"/>
      <c r="K14" s="81"/>
      <c r="L14" s="81"/>
      <c r="M14" s="9">
        <f t="shared" si="0"/>
        <v>0</v>
      </c>
      <c r="N14" s="9">
        <f t="shared" si="1"/>
        <v>0</v>
      </c>
      <c r="O14" s="3">
        <f t="shared" si="2"/>
        <v>0</v>
      </c>
      <c r="P14" s="3">
        <f t="shared" si="3"/>
        <v>0</v>
      </c>
    </row>
    <row r="15" spans="1:18" s="3" customFormat="1">
      <c r="A15" s="24">
        <f>'Исходные данные'!B21</f>
        <v>0</v>
      </c>
      <c r="B15" s="93"/>
      <c r="C15" s="72"/>
      <c r="D15" s="93"/>
      <c r="E15" s="93"/>
      <c r="F15" s="8"/>
      <c r="G15" s="93"/>
      <c r="H15" s="93"/>
      <c r="I15" s="81"/>
      <c r="J15" s="81"/>
      <c r="K15" s="81"/>
      <c r="L15" s="81"/>
      <c r="M15" s="9">
        <f t="shared" si="0"/>
        <v>0</v>
      </c>
      <c r="N15" s="9">
        <f t="shared" si="1"/>
        <v>0</v>
      </c>
      <c r="O15" s="3">
        <f t="shared" si="2"/>
        <v>0</v>
      </c>
      <c r="P15" s="3">
        <f t="shared" si="3"/>
        <v>0</v>
      </c>
    </row>
    <row r="16" spans="1:18" s="3" customFormat="1">
      <c r="A16" s="24">
        <f>'Исходные данные'!B22</f>
        <v>0</v>
      </c>
      <c r="B16" s="24" t="e">
        <f>IF('Исходные данные'!#REF!=3,"183.00.00.003",IF('Исходные данные'!#REF!=1,"0148.10.004",0))</f>
        <v>#REF!</v>
      </c>
      <c r="C16" s="72" t="e">
        <f>IF(AND('Исходные данные'!#REF!=3,'Исходные данные'!K22=1),'Исходные данные'!I22-1,IF(AND('Исходные данные'!#REF!=3,'Исходные данные'!K22=2),'Исходные данные'!I22-3,IF(AND('Исходные данные'!#REF!=1,'Исходные данные'!K22=1),'Исходные данные'!I22-2,IF(AND('Исходные данные'!#REF!=1,'Исходные данные'!K22=2),'Исходные данные'!I22-2,0))))</f>
        <v>#REF!</v>
      </c>
      <c r="D16" s="67" t="e">
        <f>IF(AND('Исходные данные'!#REF!=3,'Исходные данные'!K22=1),55,IF(AND('Исходные данные'!#REF!=3,'Исходные данные'!K22=2),65,IF(AND('Исходные данные'!#REF!=1,'Исходные данные'!K22=1),52,IF(AND('Исходные данные'!#REF!=1,'Исходные данные'!K22=2),53,0))))</f>
        <v>#REF!</v>
      </c>
      <c r="E16" s="24">
        <v>0.7</v>
      </c>
      <c r="F16" s="8">
        <f>'Исходные данные'!U22</f>
        <v>0</v>
      </c>
      <c r="G16" s="63" t="e">
        <f>IF('Исходные данные'!#REF!=3,15,IF('Исходные данные'!#REF!=1,12,0))</f>
        <v>#REF!</v>
      </c>
      <c r="H16" s="63">
        <v>20</v>
      </c>
      <c r="I16" s="81"/>
      <c r="J16" s="81"/>
      <c r="K16" s="81"/>
      <c r="L16" s="81"/>
      <c r="M16" s="9" t="e">
        <f t="shared" si="0"/>
        <v>#REF!</v>
      </c>
      <c r="N16" s="9">
        <f t="shared" si="1"/>
        <v>0</v>
      </c>
      <c r="O16" s="3" t="e">
        <f t="shared" si="2"/>
        <v>#REF!</v>
      </c>
      <c r="P16" s="3">
        <f t="shared" si="3"/>
        <v>0</v>
      </c>
    </row>
    <row r="17" spans="1:16" s="3" customFormat="1">
      <c r="A17" s="24">
        <f>'Исходные данные'!B23</f>
        <v>0</v>
      </c>
      <c r="B17" s="24" t="e">
        <f>IF('Исходные данные'!#REF!=3,"183.00.00.003",IF('Исходные данные'!#REF!=1,"0148.10.004",0))</f>
        <v>#REF!</v>
      </c>
      <c r="C17" s="72" t="e">
        <f>IF(AND('Исходные данные'!#REF!=3,'Исходные данные'!K23=1),'Исходные данные'!I23-1,IF(AND('Исходные данные'!#REF!=3,'Исходные данные'!K23=2),'Исходные данные'!I23-3,IF(AND('Исходные данные'!#REF!=1,'Исходные данные'!K23=1),'Исходные данные'!I23-2,IF(AND('Исходные данные'!#REF!=1,'Исходные данные'!K23=2),'Исходные данные'!I23-2,0))))</f>
        <v>#REF!</v>
      </c>
      <c r="D17" s="67" t="e">
        <f>IF(AND('Исходные данные'!#REF!=3,'Исходные данные'!K23=1),55,IF(AND('Исходные данные'!#REF!=3,'Исходные данные'!K23=2),65,IF(AND('Исходные данные'!#REF!=1,'Исходные данные'!K23=1),52,IF(AND('Исходные данные'!#REF!=1,'Исходные данные'!K23=2),53,0))))</f>
        <v>#REF!</v>
      </c>
      <c r="E17" s="24">
        <v>0.7</v>
      </c>
      <c r="F17" s="8">
        <f>'Исходные данные'!U23</f>
        <v>0</v>
      </c>
      <c r="G17" s="63" t="e">
        <f>IF('Исходные данные'!#REF!=3,15,IF('Исходные данные'!#REF!=1,12,0))</f>
        <v>#REF!</v>
      </c>
      <c r="H17" s="63">
        <v>20</v>
      </c>
      <c r="I17" s="81"/>
      <c r="J17" s="81"/>
      <c r="K17" s="81"/>
      <c r="L17" s="81"/>
      <c r="M17" s="9" t="e">
        <f t="shared" si="0"/>
        <v>#REF!</v>
      </c>
      <c r="N17" s="9">
        <f t="shared" si="1"/>
        <v>0</v>
      </c>
      <c r="O17" s="3" t="e">
        <f t="shared" si="2"/>
        <v>#REF!</v>
      </c>
      <c r="P17" s="3">
        <f t="shared" si="3"/>
        <v>0</v>
      </c>
    </row>
    <row r="18" spans="1:16" s="3" customFormat="1">
      <c r="A18" s="24">
        <f>'Исходные данные'!B24</f>
        <v>0</v>
      </c>
      <c r="B18" s="24" t="e">
        <f>IF('Исходные данные'!#REF!=3,"183.00.00.003",IF('Исходные данные'!#REF!=1,"0148.10.004",0))</f>
        <v>#REF!</v>
      </c>
      <c r="C18" s="72" t="e">
        <f>IF(AND('Исходные данные'!#REF!=3,'Исходные данные'!K24=1),'Исходные данные'!I24-1,IF(AND('Исходные данные'!#REF!=3,'Исходные данные'!K24=2),'Исходные данные'!I24-3,IF(AND('Исходные данные'!#REF!=1,'Исходные данные'!K24=1),'Исходные данные'!I24-2,IF(AND('Исходные данные'!#REF!=1,'Исходные данные'!K24=2),'Исходные данные'!I24-2,0))))</f>
        <v>#REF!</v>
      </c>
      <c r="D18" s="67" t="e">
        <f>IF(AND('Исходные данные'!#REF!=3,'Исходные данные'!K24=1),55,IF(AND('Исходные данные'!#REF!=3,'Исходные данные'!K24=2),65,IF(AND('Исходные данные'!#REF!=1,'Исходные данные'!K24=1),52,IF(AND('Исходные данные'!#REF!=1,'Исходные данные'!K24=2),53,0))))</f>
        <v>#REF!</v>
      </c>
      <c r="E18" s="24">
        <v>0.7</v>
      </c>
      <c r="F18" s="8">
        <f>'Исходные данные'!U24</f>
        <v>0</v>
      </c>
      <c r="G18" s="63" t="e">
        <f>IF('Исходные данные'!#REF!=3,15,IF('Исходные данные'!#REF!=1,12,0))</f>
        <v>#REF!</v>
      </c>
      <c r="H18" s="63">
        <v>20</v>
      </c>
      <c r="I18" s="81"/>
      <c r="J18" s="81"/>
      <c r="K18" s="81"/>
      <c r="L18" s="81"/>
      <c r="M18" s="9" t="e">
        <f t="shared" si="0"/>
        <v>#REF!</v>
      </c>
      <c r="N18" s="9">
        <f t="shared" si="1"/>
        <v>0</v>
      </c>
      <c r="O18" s="3" t="e">
        <f t="shared" si="2"/>
        <v>#REF!</v>
      </c>
      <c r="P18" s="3">
        <f t="shared" si="3"/>
        <v>0</v>
      </c>
    </row>
    <row r="19" spans="1:16" s="3" customFormat="1">
      <c r="A19" s="24">
        <f>'Исходные данные'!B25</f>
        <v>0</v>
      </c>
      <c r="B19" s="24" t="e">
        <f>IF('Исходные данные'!#REF!=3,"183.00.00.003",IF('Исходные данные'!#REF!=1,"0148.10.004",0))</f>
        <v>#REF!</v>
      </c>
      <c r="C19" s="72" t="e">
        <f>IF(AND('Исходные данные'!#REF!=3,'Исходные данные'!K25=1),'Исходные данные'!I25-1,IF(AND('Исходные данные'!#REF!=3,'Исходные данные'!K25=2),'Исходные данные'!I25-3,IF(AND('Исходные данные'!#REF!=1,'Исходные данные'!K25=1),'Исходные данные'!I25-2,IF(AND('Исходные данные'!#REF!=1,'Исходные данные'!K25=2),'Исходные данные'!I25-2,0))))</f>
        <v>#REF!</v>
      </c>
      <c r="D19" s="67" t="e">
        <f>IF(AND('Исходные данные'!#REF!=3,'Исходные данные'!K25=1),55,IF(AND('Исходные данные'!#REF!=3,'Исходные данные'!K25=2),65,IF(AND('Исходные данные'!#REF!=1,'Исходные данные'!K25=1),52,IF(AND('Исходные данные'!#REF!=1,'Исходные данные'!K25=2),53,0))))</f>
        <v>#REF!</v>
      </c>
      <c r="E19" s="24">
        <v>0.7</v>
      </c>
      <c r="F19" s="8">
        <f>'Исходные данные'!U25</f>
        <v>0</v>
      </c>
      <c r="G19" s="63" t="e">
        <f>IF('Исходные данные'!#REF!=3,15,IF('Исходные данные'!#REF!=1,12,0))</f>
        <v>#REF!</v>
      </c>
      <c r="H19" s="63">
        <v>20</v>
      </c>
      <c r="I19" s="81"/>
      <c r="J19" s="81"/>
      <c r="K19" s="81"/>
      <c r="L19" s="81"/>
      <c r="M19" s="9" t="e">
        <f t="shared" si="0"/>
        <v>#REF!</v>
      </c>
      <c r="N19" s="9">
        <f t="shared" si="1"/>
        <v>0</v>
      </c>
      <c r="O19" s="3" t="e">
        <f t="shared" si="2"/>
        <v>#REF!</v>
      </c>
      <c r="P19" s="3">
        <f t="shared" si="3"/>
        <v>0</v>
      </c>
    </row>
    <row r="20" spans="1:16" s="3" customFormat="1">
      <c r="A20" s="24">
        <f>'Исходные данные'!B26</f>
        <v>0</v>
      </c>
      <c r="B20" s="24" t="e">
        <f>IF('Исходные данные'!#REF!=3,"183.00.00.003",IF('Исходные данные'!#REF!=1,"0148.10.004",0))</f>
        <v>#REF!</v>
      </c>
      <c r="C20" s="72" t="e">
        <f>IF(AND('Исходные данные'!#REF!=3,'Исходные данные'!K26=1),'Исходные данные'!I26-1,IF(AND('Исходные данные'!#REF!=3,'Исходные данные'!K26=2),'Исходные данные'!I26-3,IF(AND('Исходные данные'!#REF!=1,'Исходные данные'!K26=1),'Исходные данные'!I26-2,IF(AND('Исходные данные'!#REF!=1,'Исходные данные'!K26=2),'Исходные данные'!I26-2,0))))</f>
        <v>#REF!</v>
      </c>
      <c r="D20" s="67" t="e">
        <f>IF(AND('Исходные данные'!#REF!=3,'Исходные данные'!K26=1),55,IF(AND('Исходные данные'!#REF!=3,'Исходные данные'!K26=2),65,IF(AND('Исходные данные'!#REF!=1,'Исходные данные'!K26=1),52,IF(AND('Исходные данные'!#REF!=1,'Исходные данные'!K26=2),53,0))))</f>
        <v>#REF!</v>
      </c>
      <c r="E20" s="24">
        <v>0.7</v>
      </c>
      <c r="F20" s="8">
        <f>'Исходные данные'!U26</f>
        <v>0</v>
      </c>
      <c r="G20" s="63" t="e">
        <f>IF('Исходные данные'!#REF!=3,15,IF('Исходные данные'!#REF!=1,12,0))</f>
        <v>#REF!</v>
      </c>
      <c r="H20" s="63">
        <v>20</v>
      </c>
      <c r="I20" s="81"/>
      <c r="J20" s="81"/>
      <c r="K20" s="81"/>
      <c r="L20" s="81"/>
      <c r="M20" s="9" t="e">
        <f t="shared" si="0"/>
        <v>#REF!</v>
      </c>
      <c r="N20" s="9">
        <f t="shared" si="1"/>
        <v>0</v>
      </c>
      <c r="O20" s="3" t="e">
        <f t="shared" si="2"/>
        <v>#REF!</v>
      </c>
      <c r="P20" s="3">
        <f t="shared" si="3"/>
        <v>0</v>
      </c>
    </row>
    <row r="21" spans="1:16" s="3" customFormat="1">
      <c r="A21" s="24">
        <f>'Исходные данные'!B27</f>
        <v>0</v>
      </c>
      <c r="B21" s="24" t="e">
        <f>IF('Исходные данные'!#REF!=3,"183.00.00.003",IF('Исходные данные'!#REF!=1,"0148.10.004",0))</f>
        <v>#REF!</v>
      </c>
      <c r="C21" s="72" t="e">
        <f>IF(AND('Исходные данные'!#REF!=3,'Исходные данные'!K27=1),'Исходные данные'!I27-1,IF(AND('Исходные данные'!#REF!=3,'Исходные данные'!K27=2),'Исходные данные'!I27-3,IF(AND('Исходные данные'!#REF!=1,'Исходные данные'!K27=1),'Исходные данные'!I27-2,IF(AND('Исходные данные'!#REF!=1,'Исходные данные'!K27=2),'Исходные данные'!I27-2,0))))</f>
        <v>#REF!</v>
      </c>
      <c r="D21" s="67" t="e">
        <f>IF(AND('Исходные данные'!#REF!=3,'Исходные данные'!K27=1),55,IF(AND('Исходные данные'!#REF!=3,'Исходные данные'!K27=2),65,IF(AND('Исходные данные'!#REF!=1,'Исходные данные'!K27=1),52,IF(AND('Исходные данные'!#REF!=1,'Исходные данные'!K27=2),53,0))))</f>
        <v>#REF!</v>
      </c>
      <c r="E21" s="24">
        <v>0.7</v>
      </c>
      <c r="F21" s="8">
        <f>'Исходные данные'!U27</f>
        <v>0</v>
      </c>
      <c r="G21" s="63" t="e">
        <f>IF('Исходные данные'!#REF!=3,15,IF('Исходные данные'!#REF!=1,12,0))</f>
        <v>#REF!</v>
      </c>
      <c r="H21" s="63">
        <v>20</v>
      </c>
      <c r="I21" s="81"/>
      <c r="J21" s="81"/>
      <c r="K21" s="81"/>
      <c r="L21" s="81"/>
      <c r="M21" s="9" t="e">
        <f t="shared" si="0"/>
        <v>#REF!</v>
      </c>
      <c r="N21" s="9">
        <f t="shared" si="1"/>
        <v>0</v>
      </c>
      <c r="O21" s="3" t="e">
        <f t="shared" si="2"/>
        <v>#REF!</v>
      </c>
      <c r="P21" s="3">
        <f t="shared" si="3"/>
        <v>0</v>
      </c>
    </row>
    <row r="22" spans="1:16" s="3" customFormat="1">
      <c r="A22" s="24">
        <f>'Исходные данные'!B28</f>
        <v>0</v>
      </c>
      <c r="B22" s="24" t="e">
        <f>IF('Исходные данные'!#REF!=3,"183.00.00.003",IF('Исходные данные'!#REF!=1,"0148.10.004",0))</f>
        <v>#REF!</v>
      </c>
      <c r="C22" s="72" t="e">
        <f>IF(AND('Исходные данные'!#REF!=3,'Исходные данные'!K28=1),'Исходные данные'!I28-1,IF(AND('Исходные данные'!#REF!=3,'Исходные данные'!K28=2),'Исходные данные'!I28-3,IF(AND('Исходные данные'!#REF!=1,'Исходные данные'!K28=1),'Исходные данные'!I28-2,IF(AND('Исходные данные'!#REF!=1,'Исходные данные'!K28=2),'Исходные данные'!I28-2,0))))</f>
        <v>#REF!</v>
      </c>
      <c r="D22" s="67" t="e">
        <f>IF(AND('Исходные данные'!#REF!=3,'Исходные данные'!K28=1),55,IF(AND('Исходные данные'!#REF!=3,'Исходные данные'!K28=2),65,IF(AND('Исходные данные'!#REF!=1,'Исходные данные'!K28=1),52,IF(AND('Исходные данные'!#REF!=1,'Исходные данные'!K28=2),53,0))))</f>
        <v>#REF!</v>
      </c>
      <c r="E22" s="24">
        <v>0.7</v>
      </c>
      <c r="F22" s="8">
        <f>'Исходные данные'!U28</f>
        <v>0</v>
      </c>
      <c r="G22" s="63" t="e">
        <f>IF('Исходные данные'!#REF!=3,15,IF('Исходные данные'!#REF!=1,12,0))</f>
        <v>#REF!</v>
      </c>
      <c r="H22" s="63">
        <v>20</v>
      </c>
      <c r="I22" s="81"/>
      <c r="J22" s="81"/>
      <c r="K22" s="81"/>
      <c r="L22" s="81"/>
      <c r="M22" s="9" t="e">
        <f t="shared" si="0"/>
        <v>#REF!</v>
      </c>
      <c r="N22" s="9">
        <f t="shared" si="1"/>
        <v>0</v>
      </c>
      <c r="O22" s="3" t="e">
        <f t="shared" si="2"/>
        <v>#REF!</v>
      </c>
      <c r="P22" s="3">
        <f t="shared" si="3"/>
        <v>0</v>
      </c>
    </row>
    <row r="23" spans="1:16" s="3" customFormat="1">
      <c r="A23" s="24">
        <f>'Исходные данные'!B29</f>
        <v>0</v>
      </c>
      <c r="B23" s="24" t="e">
        <f>IF('Исходные данные'!#REF!=3,"183.00.00.003",IF('Исходные данные'!#REF!=1,"0148.10.004",0))</f>
        <v>#REF!</v>
      </c>
      <c r="C23" s="72" t="e">
        <f>IF(AND('Исходные данные'!#REF!=3,'Исходные данные'!K29=1),'Исходные данные'!I29-1,IF(AND('Исходные данные'!#REF!=3,'Исходные данные'!K29=2),'Исходные данные'!I29-3,IF(AND('Исходные данные'!#REF!=1,'Исходные данные'!K29=1),'Исходные данные'!I29-2,IF(AND('Исходные данные'!#REF!=1,'Исходные данные'!K29=2),'Исходные данные'!I29-2,0))))</f>
        <v>#REF!</v>
      </c>
      <c r="D23" s="67" t="e">
        <f>IF(AND('Исходные данные'!#REF!=3,'Исходные данные'!K29=1),55,IF(AND('Исходные данные'!#REF!=3,'Исходные данные'!K29=2),65,IF(AND('Исходные данные'!#REF!=1,'Исходные данные'!K29=1),52,IF(AND('Исходные данные'!#REF!=1,'Исходные данные'!K29=2),53,0))))</f>
        <v>#REF!</v>
      </c>
      <c r="E23" s="24">
        <v>0.7</v>
      </c>
      <c r="F23" s="8">
        <f>'Исходные данные'!U30</f>
        <v>0</v>
      </c>
      <c r="G23" s="63" t="e">
        <f>IF('Исходные данные'!#REF!=3,15,IF('Исходные данные'!#REF!=1,12,0))</f>
        <v>#REF!</v>
      </c>
      <c r="H23" s="63">
        <v>20</v>
      </c>
      <c r="I23" s="81"/>
      <c r="J23" s="81"/>
      <c r="K23" s="81"/>
      <c r="L23" s="81"/>
      <c r="M23" s="9" t="e">
        <f t="shared" si="0"/>
        <v>#REF!</v>
      </c>
      <c r="N23" s="9">
        <f t="shared" si="1"/>
        <v>0</v>
      </c>
      <c r="O23" s="3" t="e">
        <f t="shared" si="2"/>
        <v>#REF!</v>
      </c>
      <c r="P23" s="3">
        <f t="shared" si="3"/>
        <v>0</v>
      </c>
    </row>
    <row r="24" spans="1:16" s="3" customFormat="1">
      <c r="A24" s="24">
        <f>'Исходные данные'!B30</f>
        <v>0</v>
      </c>
      <c r="B24" s="24" t="e">
        <f>IF('Исходные данные'!#REF!=3,"183.00.00.003",IF('Исходные данные'!#REF!=1,"0148.10.004",0))</f>
        <v>#REF!</v>
      </c>
      <c r="C24" s="72" t="e">
        <f>IF(AND('Исходные данные'!#REF!=3,'Исходные данные'!K30=1),'Исходные данные'!I30-1,IF(AND('Исходные данные'!#REF!=3,'Исходные данные'!K30=2),'Исходные данные'!I30-3,IF(AND('Исходные данные'!#REF!=1,'Исходные данные'!K30=1),'Исходные данные'!I30-2,IF(AND('Исходные данные'!#REF!=1,'Исходные данные'!K30=2),'Исходные данные'!I30-2,0))))</f>
        <v>#REF!</v>
      </c>
      <c r="D24" s="67" t="e">
        <f>IF(AND('Исходные данные'!#REF!=3,'Исходные данные'!K30=1),55,IF(AND('Исходные данные'!#REF!=3,'Исходные данные'!K30=2),65,IF(AND('Исходные данные'!#REF!=1,'Исходные данные'!K30=1),52,IF(AND('Исходные данные'!#REF!=1,'Исходные данные'!K30=2),53,0))))</f>
        <v>#REF!</v>
      </c>
      <c r="E24" s="24">
        <v>0.7</v>
      </c>
      <c r="F24" s="8">
        <f>'Исходные данные'!U37</f>
        <v>0</v>
      </c>
      <c r="G24" s="63" t="e">
        <f>IF('Исходные данные'!#REF!=3,15,IF('Исходные данные'!#REF!=1,12,0))</f>
        <v>#REF!</v>
      </c>
      <c r="H24" s="63">
        <v>20</v>
      </c>
      <c r="I24" s="81"/>
      <c r="J24" s="81"/>
      <c r="K24" s="81"/>
      <c r="L24" s="81"/>
      <c r="M24" s="9" t="e">
        <f t="shared" si="0"/>
        <v>#REF!</v>
      </c>
      <c r="N24" s="9">
        <f t="shared" si="1"/>
        <v>0</v>
      </c>
      <c r="O24" s="3" t="e">
        <f t="shared" si="2"/>
        <v>#REF!</v>
      </c>
      <c r="P24" s="3">
        <f t="shared" si="3"/>
        <v>0</v>
      </c>
    </row>
    <row r="25" spans="1:16" s="3" customFormat="1">
      <c r="I25" s="80"/>
      <c r="J25" s="80"/>
      <c r="K25" s="80"/>
      <c r="L25" s="80"/>
      <c r="O25" s="3" t="e">
        <f>SUM(O10:O24)</f>
        <v>#REF!</v>
      </c>
      <c r="P25" s="3">
        <f>SUM(P10:P24)</f>
        <v>0</v>
      </c>
    </row>
    <row r="26" spans="1:16" s="3" customFormat="1">
      <c r="I26" s="80"/>
      <c r="J26" s="80"/>
      <c r="K26" s="80"/>
      <c r="L26" s="80"/>
    </row>
    <row r="27" spans="1:16" s="3" customFormat="1">
      <c r="A27" s="3" t="s">
        <v>40</v>
      </c>
      <c r="B27" s="3" t="s">
        <v>41</v>
      </c>
      <c r="C27" s="549" t="s">
        <v>42</v>
      </c>
      <c r="D27" s="549"/>
      <c r="E27" s="549"/>
      <c r="G27" s="29"/>
      <c r="H27" s="3" t="s">
        <v>43</v>
      </c>
      <c r="I27" s="80"/>
      <c r="J27" s="80"/>
      <c r="K27" s="80"/>
      <c r="L27" s="80"/>
    </row>
    <row r="28" spans="1:16" s="3" customFormat="1">
      <c r="F28" s="36" t="s">
        <v>54</v>
      </c>
      <c r="G28" s="29"/>
      <c r="I28" s="80"/>
      <c r="J28" s="80"/>
      <c r="K28" s="80"/>
      <c r="L28" s="80"/>
    </row>
    <row r="29" spans="1:16" s="3" customFormat="1">
      <c r="G29" s="29"/>
      <c r="I29" s="80"/>
      <c r="J29" s="80"/>
      <c r="K29" s="80"/>
      <c r="L29" s="80"/>
    </row>
    <row r="30" spans="1:16">
      <c r="A30" s="3" t="s">
        <v>13</v>
      </c>
      <c r="B30" s="3" t="s">
        <v>41</v>
      </c>
      <c r="C30" s="549" t="s">
        <v>42</v>
      </c>
      <c r="D30" s="549"/>
      <c r="E30" s="549"/>
      <c r="G30" s="100">
        <f>P25</f>
        <v>0</v>
      </c>
      <c r="H30" s="22" t="s">
        <v>43</v>
      </c>
      <c r="I30" s="84"/>
      <c r="J30" s="84"/>
      <c r="K30" s="84"/>
      <c r="L30" s="84"/>
    </row>
    <row r="31" spans="1:16">
      <c r="F31" s="36" t="s">
        <v>54</v>
      </c>
    </row>
    <row r="33" spans="1:12">
      <c r="A33" s="43"/>
      <c r="B33" s="43"/>
      <c r="C33" s="43"/>
      <c r="D33" s="43"/>
      <c r="E33" s="43"/>
      <c r="F33" s="43"/>
      <c r="G33" s="43"/>
      <c r="H33" s="43"/>
      <c r="I33" s="10"/>
      <c r="J33" s="10"/>
      <c r="K33" s="10"/>
      <c r="L33" s="10"/>
    </row>
    <row r="34" spans="1:12" ht="21">
      <c r="A34" s="44" t="s">
        <v>61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6" spans="1:12" ht="18.75">
      <c r="A36" s="21" t="s">
        <v>70</v>
      </c>
      <c r="D36" s="21">
        <f>'Исходные данные'!J12</f>
        <v>4444</v>
      </c>
      <c r="F36" s="21"/>
    </row>
    <row r="37" spans="1:12">
      <c r="A37" t="s">
        <v>75</v>
      </c>
    </row>
    <row r="38" spans="1:12">
      <c r="A38" t="s">
        <v>62</v>
      </c>
    </row>
    <row r="40" spans="1:12">
      <c r="A40" t="s">
        <v>40</v>
      </c>
      <c r="B40" t="s">
        <v>45</v>
      </c>
      <c r="F40" t="s">
        <v>128</v>
      </c>
    </row>
    <row r="42" spans="1:12">
      <c r="A42" t="s">
        <v>63</v>
      </c>
      <c r="F42" t="s">
        <v>128</v>
      </c>
    </row>
    <row r="45" spans="1:12">
      <c r="A45" t="s">
        <v>64</v>
      </c>
      <c r="F45" t="s">
        <v>128</v>
      </c>
    </row>
  </sheetData>
  <mergeCells count="12">
    <mergeCell ref="C30:E30"/>
    <mergeCell ref="A8:A9"/>
    <mergeCell ref="G8:H8"/>
    <mergeCell ref="D8:D9"/>
    <mergeCell ref="E8:E9"/>
    <mergeCell ref="F8:F9"/>
    <mergeCell ref="B8:B9"/>
    <mergeCell ref="I8:I9"/>
    <mergeCell ref="J8:J9"/>
    <mergeCell ref="K8:K9"/>
    <mergeCell ref="L8:L9"/>
    <mergeCell ref="C27:E27"/>
  </mergeCells>
  <pageMargins left="7.874015748031496E-2" right="7.874015748031496E-2" top="0.74803149606299213" bottom="0.74803149606299213" header="0.31496062992125984" footer="0.31496062992125984"/>
  <pageSetup paperSize="9" scale="7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W44"/>
  <sheetViews>
    <sheetView workbookViewId="0">
      <selection activeCell="B10" sqref="B10"/>
    </sheetView>
  </sheetViews>
  <sheetFormatPr defaultRowHeight="15"/>
  <cols>
    <col min="2" max="2" width="16.140625" customWidth="1"/>
    <col min="3" max="3" width="10.7109375" customWidth="1"/>
    <col min="4" max="4" width="7.7109375" customWidth="1"/>
    <col min="5" max="5" width="5.7109375" customWidth="1"/>
    <col min="6" max="6" width="11.28515625" customWidth="1"/>
    <col min="7" max="8" width="6.5703125" customWidth="1"/>
    <col min="10" max="10" width="11.7109375" customWidth="1"/>
    <col min="12" max="12" width="12.5703125" customWidth="1"/>
    <col min="13" max="13" width="11.5703125" customWidth="1"/>
  </cols>
  <sheetData>
    <row r="3" spans="1:23" ht="21">
      <c r="B3" s="33" t="str">
        <f>'Исходные данные'!B12</f>
        <v>Сопроводительный лист</v>
      </c>
      <c r="F3" s="34">
        <f>'Исходные данные'!J12</f>
        <v>4444</v>
      </c>
    </row>
    <row r="6" spans="1:23" ht="23.25">
      <c r="C6" s="19" t="s">
        <v>138</v>
      </c>
    </row>
    <row r="8" spans="1:23" ht="27" customHeight="1">
      <c r="A8" s="538" t="s">
        <v>8</v>
      </c>
      <c r="B8" s="555" t="s">
        <v>14</v>
      </c>
      <c r="C8" s="555" t="s">
        <v>21</v>
      </c>
      <c r="D8" s="13" t="s">
        <v>18</v>
      </c>
      <c r="E8" s="558" t="s">
        <v>4</v>
      </c>
      <c r="F8" s="558" t="s">
        <v>5</v>
      </c>
      <c r="G8" s="558" t="s">
        <v>2</v>
      </c>
      <c r="H8" s="559"/>
      <c r="I8" s="538" t="s">
        <v>3</v>
      </c>
      <c r="J8" s="550" t="s">
        <v>122</v>
      </c>
      <c r="K8" s="550" t="s">
        <v>123</v>
      </c>
      <c r="L8" s="550" t="s">
        <v>124</v>
      </c>
      <c r="M8" s="550" t="s">
        <v>123</v>
      </c>
      <c r="T8" s="557"/>
      <c r="U8" s="557"/>
      <c r="V8" s="557"/>
      <c r="W8" s="557"/>
    </row>
    <row r="9" spans="1:23" ht="42" customHeight="1">
      <c r="A9" s="539"/>
      <c r="B9" s="556"/>
      <c r="C9" s="556"/>
      <c r="D9" s="17" t="s">
        <v>23</v>
      </c>
      <c r="E9" s="558"/>
      <c r="F9" s="558"/>
      <c r="G9" s="558"/>
      <c r="H9" s="560"/>
      <c r="I9" s="539"/>
      <c r="J9" s="551"/>
      <c r="K9" s="551"/>
      <c r="L9" s="551"/>
      <c r="M9" s="551"/>
      <c r="N9" s="2" t="s">
        <v>10</v>
      </c>
      <c r="O9" s="2" t="s">
        <v>11</v>
      </c>
      <c r="P9" s="2" t="s">
        <v>12</v>
      </c>
      <c r="Q9" s="2" t="s">
        <v>13</v>
      </c>
      <c r="R9" s="1"/>
      <c r="S9" s="1"/>
      <c r="T9" s="74"/>
      <c r="U9" s="74"/>
      <c r="V9" s="74"/>
      <c r="W9" s="74"/>
    </row>
    <row r="10" spans="1:23" s="3" customFormat="1">
      <c r="A10" s="31">
        <f>'Исходные данные'!B16</f>
        <v>0</v>
      </c>
      <c r="B10" s="103" t="s">
        <v>133</v>
      </c>
      <c r="C10" s="97" t="s">
        <v>6</v>
      </c>
      <c r="D10" s="8">
        <v>599</v>
      </c>
      <c r="E10" s="8">
        <v>29.9</v>
      </c>
      <c r="F10" s="8">
        <v>1</v>
      </c>
      <c r="G10" s="8">
        <f>'Исходные данные'!U16</f>
        <v>0</v>
      </c>
      <c r="H10" s="8"/>
      <c r="I10" s="75"/>
      <c r="J10" s="81"/>
      <c r="K10" s="81"/>
      <c r="L10" s="81"/>
      <c r="M10" s="81"/>
      <c r="N10" s="9">
        <f>IF(D10&lt;500,0.008*G10,IF(D10&lt;1500,0.014*G10,IF(D10&lt;5000,0.022*G10,IF(D10&lt;2500,0.048*G10,0))))</f>
        <v>0</v>
      </c>
      <c r="O10" s="9">
        <f>G10*0.004</f>
        <v>0</v>
      </c>
      <c r="P10" s="9">
        <f>N10+O10</f>
        <v>0</v>
      </c>
      <c r="Q10" s="9">
        <f>0.008*G10</f>
        <v>0</v>
      </c>
      <c r="S10" s="73"/>
      <c r="V10" s="73"/>
    </row>
    <row r="11" spans="1:23" s="3" customFormat="1">
      <c r="A11" s="63">
        <f>'Исходные данные'!B17</f>
        <v>0</v>
      </c>
      <c r="B11" s="91" t="s">
        <v>133</v>
      </c>
      <c r="C11" s="97" t="s">
        <v>6</v>
      </c>
      <c r="D11" s="75">
        <v>599</v>
      </c>
      <c r="E11" s="67">
        <v>29.9</v>
      </c>
      <c r="F11" s="63">
        <v>1</v>
      </c>
      <c r="G11" s="63">
        <f>'Исходные данные'!U17</f>
        <v>0</v>
      </c>
      <c r="H11" s="8"/>
      <c r="I11" s="75"/>
      <c r="J11" s="81"/>
      <c r="K11" s="81"/>
      <c r="L11" s="81"/>
      <c r="M11" s="81"/>
      <c r="N11" s="9">
        <f t="shared" ref="N11:N24" si="0">IF(D11&lt;500,0.008*G11,IF(D11&lt;1500,0.014*G11,IF(D11&lt;5000,0.022*G11,IF(D11&lt;2500,0.048*G11,0))))</f>
        <v>0</v>
      </c>
      <c r="O11" s="9">
        <f t="shared" ref="O11:O24" si="1">G11*0.004</f>
        <v>0</v>
      </c>
      <c r="P11" s="9">
        <f t="shared" ref="P11:P24" si="2">N11+O11</f>
        <v>0</v>
      </c>
      <c r="Q11" s="9">
        <f t="shared" ref="Q11:Q24" si="3">0.008*G11</f>
        <v>0</v>
      </c>
      <c r="T11" s="73"/>
      <c r="U11" s="73"/>
      <c r="V11" s="73"/>
      <c r="W11" s="73"/>
    </row>
    <row r="12" spans="1:23" s="3" customFormat="1">
      <c r="A12" s="63">
        <f>'Исходные данные'!B18</f>
        <v>0</v>
      </c>
      <c r="B12" s="93" t="s">
        <v>133</v>
      </c>
      <c r="C12" s="97" t="s">
        <v>6</v>
      </c>
      <c r="D12" s="75">
        <v>499</v>
      </c>
      <c r="E12" s="93">
        <v>29.9</v>
      </c>
      <c r="F12" s="93">
        <v>1</v>
      </c>
      <c r="G12" s="63">
        <f>'Исходные данные'!U18</f>
        <v>0</v>
      </c>
      <c r="H12" s="8"/>
      <c r="I12" s="75"/>
      <c r="J12" s="81"/>
      <c r="K12" s="81"/>
      <c r="L12" s="81"/>
      <c r="M12" s="81"/>
      <c r="N12" s="9">
        <f t="shared" si="0"/>
        <v>0</v>
      </c>
      <c r="O12" s="9">
        <f t="shared" si="1"/>
        <v>0</v>
      </c>
      <c r="P12" s="9">
        <f t="shared" si="2"/>
        <v>0</v>
      </c>
      <c r="Q12" s="9">
        <f t="shared" si="3"/>
        <v>0</v>
      </c>
      <c r="T12" s="73"/>
      <c r="U12" s="73"/>
      <c r="V12" s="73"/>
      <c r="W12" s="73"/>
    </row>
    <row r="13" spans="1:23" s="3" customFormat="1">
      <c r="A13" s="63">
        <f>'Исходные данные'!B19</f>
        <v>0</v>
      </c>
      <c r="B13" s="93" t="s">
        <v>133</v>
      </c>
      <c r="C13" s="97" t="s">
        <v>6</v>
      </c>
      <c r="D13" s="75">
        <v>699</v>
      </c>
      <c r="E13" s="93">
        <v>29.9</v>
      </c>
      <c r="F13" s="93">
        <v>1</v>
      </c>
      <c r="G13" s="63">
        <f>'Исходные данные'!U19</f>
        <v>0</v>
      </c>
      <c r="H13" s="8"/>
      <c r="I13" s="75"/>
      <c r="J13" s="81"/>
      <c r="K13" s="81"/>
      <c r="L13" s="81"/>
      <c r="M13" s="81"/>
      <c r="N13" s="9">
        <f t="shared" si="0"/>
        <v>0</v>
      </c>
      <c r="O13" s="9">
        <f t="shared" si="1"/>
        <v>0</v>
      </c>
      <c r="P13" s="9">
        <f t="shared" si="2"/>
        <v>0</v>
      </c>
      <c r="Q13" s="9">
        <f t="shared" si="3"/>
        <v>0</v>
      </c>
      <c r="T13" s="73"/>
      <c r="U13" s="73"/>
      <c r="V13" s="73"/>
      <c r="W13" s="73"/>
    </row>
    <row r="14" spans="1:23" s="3" customFormat="1">
      <c r="A14" s="63">
        <f>'Исходные данные'!B20</f>
        <v>0</v>
      </c>
      <c r="B14" s="93"/>
      <c r="C14" s="97"/>
      <c r="D14" s="75"/>
      <c r="E14" s="93"/>
      <c r="F14" s="93"/>
      <c r="G14" s="63"/>
      <c r="H14" s="8"/>
      <c r="I14" s="75"/>
      <c r="J14" s="81"/>
      <c r="K14" s="81"/>
      <c r="L14" s="81"/>
      <c r="M14" s="81"/>
      <c r="N14" s="9">
        <f t="shared" si="0"/>
        <v>0</v>
      </c>
      <c r="O14" s="9">
        <f t="shared" si="1"/>
        <v>0</v>
      </c>
      <c r="P14" s="9">
        <f t="shared" si="2"/>
        <v>0</v>
      </c>
      <c r="Q14" s="9">
        <f t="shared" si="3"/>
        <v>0</v>
      </c>
      <c r="T14" s="73"/>
      <c r="U14" s="73"/>
      <c r="V14" s="73"/>
      <c r="W14" s="73"/>
    </row>
    <row r="15" spans="1:23" s="3" customFormat="1">
      <c r="A15" s="63">
        <f>'Исходные данные'!B21</f>
        <v>0</v>
      </c>
      <c r="B15" s="93"/>
      <c r="C15" s="97"/>
      <c r="D15" s="75"/>
      <c r="E15" s="93"/>
      <c r="F15" s="93"/>
      <c r="G15" s="63"/>
      <c r="H15" s="8"/>
      <c r="I15" s="75"/>
      <c r="J15" s="81"/>
      <c r="K15" s="81"/>
      <c r="L15" s="81"/>
      <c r="M15" s="81"/>
      <c r="N15" s="9">
        <f t="shared" si="0"/>
        <v>0</v>
      </c>
      <c r="O15" s="9">
        <f t="shared" si="1"/>
        <v>0</v>
      </c>
      <c r="P15" s="9">
        <f t="shared" si="2"/>
        <v>0</v>
      </c>
      <c r="Q15" s="9">
        <f t="shared" si="3"/>
        <v>0</v>
      </c>
      <c r="T15" s="73"/>
      <c r="U15" s="73"/>
      <c r="V15" s="73"/>
      <c r="W15" s="73"/>
    </row>
    <row r="16" spans="1:23" s="3" customFormat="1">
      <c r="A16" s="63">
        <f>'Исходные данные'!B22</f>
        <v>0</v>
      </c>
      <c r="B16" s="63" t="e">
        <f>IF('Исходные данные'!#REF!=3,"183.00.00.004",IF('Исходные данные'!#REF!=1,"0148.10.005",0))</f>
        <v>#REF!</v>
      </c>
      <c r="C16" s="8"/>
      <c r="D16" s="75" t="e">
        <f>IF(AND('Исходные данные'!#REF!=3,'Исходные данные'!K22=1),'Исходные данные'!I22-5,IF(AND('Исходные данные'!#REF!=3,'Исходные данные'!K22=2),'Исходные данные'!I22-2,IF(AND('Исходные данные'!#REF!=1,'Исходные данные'!K22=1),'Исходные данные'!I22-5,IF(AND('Исходные данные'!#REF!=1,'Исходные данные'!K22=2),'Исходные данные'!I22-5,0))))</f>
        <v>#REF!</v>
      </c>
      <c r="E16" s="67" t="e">
        <f>IF(AND('Исходные данные'!#REF!=3,'Исходные данные'!K22=1),33,IF(AND('Исходные данные'!#REF!=3,'Исходные данные'!K22=2),38,IF(AND('Исходные данные'!#REF!=1,'Исходные данные'!K22=1),34,IF(AND('Исходные данные'!#REF!=1,'Исходные данные'!K22=2),38,0))))</f>
        <v>#REF!</v>
      </c>
      <c r="F16" s="63">
        <v>0.7</v>
      </c>
      <c r="G16" s="63">
        <f>'Исходные данные'!U22</f>
        <v>0</v>
      </c>
      <c r="H16" s="8"/>
      <c r="I16" s="75" t="e">
        <f>IF(AND('Исходные данные'!#REF!=3,'Исходные данные'!K22=1),IF('Исходные данные'!J22&lt;450,100,IF('Исходные данные'!J22&gt;=450,135,0)),IF(AND('Исходные данные'!#REF!=3,'Исходные данные'!K22=2),IF('Исходные данные'!J22&lt;450,100,IF('Исходные данные'!J22&gt;=450,135,0)),IF(AND('Исходные данные'!#REF!=1,'Исходные данные'!K22=1),IF(AND('Исходные данные'!J22&gt;250,'Исходные данные'!J22&lt;450),30,IF('Исходные данные'!J22&gt;=450,130,0)),IF(AND('Исходные данные'!#REF!=1,'Исходные данные'!K22=2),IF(AND('Исходные данные'!J22&gt;=240,'Исходные данные'!J22&lt;390),70,IF(AND('Исходные данные'!J22&gt;=390,'Исходные данные'!J22&lt;430),135,IF('Исходные данные'!J22&gt;=430,175,0))),0))))</f>
        <v>#REF!</v>
      </c>
      <c r="J16" s="81"/>
      <c r="K16" s="81"/>
      <c r="L16" s="81"/>
      <c r="M16" s="81"/>
      <c r="N16" s="9" t="e">
        <f t="shared" si="0"/>
        <v>#REF!</v>
      </c>
      <c r="O16" s="9">
        <f t="shared" si="1"/>
        <v>0</v>
      </c>
      <c r="P16" s="9" t="e">
        <f t="shared" si="2"/>
        <v>#REF!</v>
      </c>
      <c r="Q16" s="9">
        <f t="shared" si="3"/>
        <v>0</v>
      </c>
      <c r="T16" s="73"/>
      <c r="U16" s="73"/>
      <c r="V16" s="73"/>
      <c r="W16" s="73"/>
    </row>
    <row r="17" spans="1:23" s="3" customFormat="1">
      <c r="A17" s="63">
        <f>'Исходные данные'!B23</f>
        <v>0</v>
      </c>
      <c r="B17" s="63" t="e">
        <f>IF('Исходные данные'!#REF!=3,"183.00.00.004",IF('Исходные данные'!#REF!=1,"0148.10.005",0))</f>
        <v>#REF!</v>
      </c>
      <c r="C17" s="8"/>
      <c r="D17" s="75" t="e">
        <f>IF(AND('Исходные данные'!#REF!=3,'Исходные данные'!K23=1),'Исходные данные'!I23-5,IF(AND('Исходные данные'!#REF!=3,'Исходные данные'!K23=2),'Исходные данные'!I23-2,IF(AND('Исходные данные'!#REF!=1,'Исходные данные'!K23=1),'Исходные данные'!I23-5,IF(AND('Исходные данные'!#REF!=1,'Исходные данные'!K23=2),'Исходные данные'!I23-5,0))))</f>
        <v>#REF!</v>
      </c>
      <c r="E17" s="67" t="e">
        <f>IF(AND('Исходные данные'!#REF!=3,'Исходные данные'!K23=1),33,IF(AND('Исходные данные'!#REF!=3,'Исходные данные'!K23=2),38,IF(AND('Исходные данные'!#REF!=1,'Исходные данные'!K23=1),34,IF(AND('Исходные данные'!#REF!=1,'Исходные данные'!K23=2),38,0))))</f>
        <v>#REF!</v>
      </c>
      <c r="F17" s="63">
        <v>0.7</v>
      </c>
      <c r="G17" s="63">
        <f>'Исходные данные'!U23</f>
        <v>0</v>
      </c>
      <c r="H17" s="8"/>
      <c r="I17" s="75" t="e">
        <f>IF(AND('Исходные данные'!#REF!=3,'Исходные данные'!K23=1),IF('Исходные данные'!J23&lt;450,100,IF('Исходные данные'!J23&gt;=450,135,0)),IF(AND('Исходные данные'!#REF!=3,'Исходные данные'!K23=2),IF('Исходные данные'!J23&lt;450,100,IF('Исходные данные'!J23&gt;=450,135,0)),IF(AND('Исходные данные'!#REF!=1,'Исходные данные'!K23=1),IF(AND('Исходные данные'!J23&gt;250,'Исходные данные'!J23&lt;450),30,IF('Исходные данные'!J23&gt;=450,130,0)),IF(AND('Исходные данные'!#REF!=1,'Исходные данные'!K23=2),IF(AND('Исходные данные'!J23&gt;=240,'Исходные данные'!J23&lt;390),70,IF(AND('Исходные данные'!J23&gt;=390,'Исходные данные'!J23&lt;430),135,IF('Исходные данные'!J23&gt;=430,175,0))),0))))</f>
        <v>#REF!</v>
      </c>
      <c r="J17" s="81"/>
      <c r="K17" s="81"/>
      <c r="L17" s="81"/>
      <c r="M17" s="81"/>
      <c r="N17" s="9" t="e">
        <f t="shared" si="0"/>
        <v>#REF!</v>
      </c>
      <c r="O17" s="9">
        <f t="shared" si="1"/>
        <v>0</v>
      </c>
      <c r="P17" s="9" t="e">
        <f t="shared" si="2"/>
        <v>#REF!</v>
      </c>
      <c r="Q17" s="9">
        <f t="shared" si="3"/>
        <v>0</v>
      </c>
      <c r="T17" s="73"/>
      <c r="U17" s="73"/>
      <c r="V17" s="73"/>
      <c r="W17" s="73"/>
    </row>
    <row r="18" spans="1:23" s="3" customFormat="1">
      <c r="A18" s="63">
        <f>'Исходные данные'!B24</f>
        <v>0</v>
      </c>
      <c r="B18" s="63" t="e">
        <f>IF('Исходные данные'!#REF!=3,"183.00.00.004",IF('Исходные данные'!#REF!=1,"0148.10.005",0))</f>
        <v>#REF!</v>
      </c>
      <c r="C18" s="8"/>
      <c r="D18" s="75" t="e">
        <f>IF(AND('Исходные данные'!#REF!=3,'Исходные данные'!K24=1),'Исходные данные'!I24-5,IF(AND('Исходные данные'!#REF!=3,'Исходные данные'!K24=2),'Исходные данные'!I24-2,IF(AND('Исходные данные'!#REF!=1,'Исходные данные'!K24=1),'Исходные данные'!I24-5,IF(AND('Исходные данные'!#REF!=1,'Исходные данные'!K24=2),'Исходные данные'!I24-5,0))))</f>
        <v>#REF!</v>
      </c>
      <c r="E18" s="67" t="e">
        <f>IF(AND('Исходные данные'!#REF!=3,'Исходные данные'!K24=1),33,IF(AND('Исходные данные'!#REF!=3,'Исходные данные'!K24=2),38,IF(AND('Исходные данные'!#REF!=1,'Исходные данные'!K24=1),34,IF(AND('Исходные данные'!#REF!=1,'Исходные данные'!K24=2),38,0))))</f>
        <v>#REF!</v>
      </c>
      <c r="F18" s="63">
        <v>0.7</v>
      </c>
      <c r="G18" s="63">
        <f>'Исходные данные'!U24</f>
        <v>0</v>
      </c>
      <c r="H18" s="8"/>
      <c r="I18" s="75" t="e">
        <f>IF(AND('Исходные данные'!#REF!=3,'Исходные данные'!K24=1),IF('Исходные данные'!J24&lt;450,100,IF('Исходные данные'!J24&gt;=450,135,0)),IF(AND('Исходные данные'!#REF!=3,'Исходные данные'!K24=2),IF('Исходные данные'!J24&lt;450,100,IF('Исходные данные'!J24&gt;=450,135,0)),IF(AND('Исходные данные'!#REF!=1,'Исходные данные'!K24=1),IF(AND('Исходные данные'!J24&gt;250,'Исходные данные'!J24&lt;450),30,IF('Исходные данные'!J24&gt;=450,130,0)),IF(AND('Исходные данные'!#REF!=1,'Исходные данные'!K24=2),IF(AND('Исходные данные'!J24&gt;=240,'Исходные данные'!J24&lt;390),70,IF(AND('Исходные данные'!J24&gt;=390,'Исходные данные'!J24&lt;430),135,IF('Исходные данные'!J24&gt;=430,175,0))),0))))</f>
        <v>#REF!</v>
      </c>
      <c r="J18" s="81"/>
      <c r="K18" s="81"/>
      <c r="L18" s="81"/>
      <c r="M18" s="81"/>
      <c r="N18" s="9" t="e">
        <f t="shared" si="0"/>
        <v>#REF!</v>
      </c>
      <c r="O18" s="9">
        <f t="shared" si="1"/>
        <v>0</v>
      </c>
      <c r="P18" s="9" t="e">
        <f t="shared" si="2"/>
        <v>#REF!</v>
      </c>
      <c r="Q18" s="9">
        <f t="shared" si="3"/>
        <v>0</v>
      </c>
      <c r="T18" s="73"/>
      <c r="U18" s="73"/>
      <c r="V18" s="73"/>
      <c r="W18" s="73"/>
    </row>
    <row r="19" spans="1:23" s="3" customFormat="1">
      <c r="A19" s="63">
        <f>'Исходные данные'!B25</f>
        <v>0</v>
      </c>
      <c r="B19" s="63" t="e">
        <f>IF('Исходные данные'!#REF!=3,"183.00.00.004",IF('Исходные данные'!#REF!=1,"0148.10.005",0))</f>
        <v>#REF!</v>
      </c>
      <c r="C19" s="8"/>
      <c r="D19" s="75" t="e">
        <f>IF(AND('Исходные данные'!#REF!=3,'Исходные данные'!K25=1),'Исходные данные'!I25-5,IF(AND('Исходные данные'!#REF!=3,'Исходные данные'!K25=2),'Исходные данные'!I25-2,IF(AND('Исходные данные'!#REF!=1,'Исходные данные'!K25=1),'Исходные данные'!I25-5,IF(AND('Исходные данные'!#REF!=1,'Исходные данные'!K25=2),'Исходные данные'!I25-5,0))))</f>
        <v>#REF!</v>
      </c>
      <c r="E19" s="67" t="e">
        <f>IF(AND('Исходные данные'!#REF!=3,'Исходные данные'!K25=1),33,IF(AND('Исходные данные'!#REF!=3,'Исходные данные'!K25=2),38,IF(AND('Исходные данные'!#REF!=1,'Исходные данные'!K25=1),34,IF(AND('Исходные данные'!#REF!=1,'Исходные данные'!K25=2),38,0))))</f>
        <v>#REF!</v>
      </c>
      <c r="F19" s="63">
        <v>0.7</v>
      </c>
      <c r="G19" s="63">
        <f>'Исходные данные'!U25</f>
        <v>0</v>
      </c>
      <c r="H19" s="8"/>
      <c r="I19" s="75" t="e">
        <f>IF(AND('Исходные данные'!#REF!=3,'Исходные данные'!K25=1),IF('Исходные данные'!J25&lt;450,100,IF('Исходные данные'!J25&gt;=450,135,0)),IF(AND('Исходные данные'!#REF!=3,'Исходные данные'!K25=2),IF('Исходные данные'!J25&lt;450,100,IF('Исходные данные'!J25&gt;=450,135,0)),IF(AND('Исходные данные'!#REF!=1,'Исходные данные'!K25=1),IF(AND('Исходные данные'!J25&gt;250,'Исходные данные'!J25&lt;450),30,IF('Исходные данные'!J25&gt;=450,130,0)),IF(AND('Исходные данные'!#REF!=1,'Исходные данные'!K25=2),IF(AND('Исходные данные'!J25&gt;=240,'Исходные данные'!J25&lt;390),70,IF(AND('Исходные данные'!J25&gt;=390,'Исходные данные'!J25&lt;430),135,IF('Исходные данные'!J25&gt;=430,175,0))),0))))</f>
        <v>#REF!</v>
      </c>
      <c r="J19" s="81"/>
      <c r="K19" s="81"/>
      <c r="L19" s="81"/>
      <c r="M19" s="81"/>
      <c r="N19" s="9" t="e">
        <f t="shared" si="0"/>
        <v>#REF!</v>
      </c>
      <c r="O19" s="9">
        <f t="shared" si="1"/>
        <v>0</v>
      </c>
      <c r="P19" s="9" t="e">
        <f t="shared" si="2"/>
        <v>#REF!</v>
      </c>
      <c r="Q19" s="9">
        <f t="shared" si="3"/>
        <v>0</v>
      </c>
      <c r="T19" s="73"/>
      <c r="U19" s="73"/>
      <c r="V19" s="73"/>
      <c r="W19" s="73"/>
    </row>
    <row r="20" spans="1:23" s="3" customFormat="1">
      <c r="A20" s="63">
        <f>'Исходные данные'!B26</f>
        <v>0</v>
      </c>
      <c r="B20" s="63" t="e">
        <f>IF('Исходные данные'!#REF!=3,"183.00.00.004",IF('Исходные данные'!#REF!=1,"0148.10.005",0))</f>
        <v>#REF!</v>
      </c>
      <c r="C20" s="8"/>
      <c r="D20" s="75" t="e">
        <f>IF(AND('Исходные данные'!#REF!=3,'Исходные данные'!K26=1),'Исходные данные'!I26-5,IF(AND('Исходные данные'!#REF!=3,'Исходные данные'!K26=2),'Исходные данные'!I26-2,IF(AND('Исходные данные'!#REF!=1,'Исходные данные'!K26=1),'Исходные данные'!I26-5,IF(AND('Исходные данные'!#REF!=1,'Исходные данные'!K26=2),'Исходные данные'!I26-5,0))))</f>
        <v>#REF!</v>
      </c>
      <c r="E20" s="67" t="e">
        <f>IF(AND('Исходные данные'!#REF!=3,'Исходные данные'!K26=1),33,IF(AND('Исходные данные'!#REF!=3,'Исходные данные'!K26=2),38,IF(AND('Исходные данные'!#REF!=1,'Исходные данные'!K26=1),34,IF(AND('Исходные данные'!#REF!=1,'Исходные данные'!K26=2),38,0))))</f>
        <v>#REF!</v>
      </c>
      <c r="F20" s="63">
        <v>0.7</v>
      </c>
      <c r="G20" s="63">
        <f>'Исходные данные'!U26</f>
        <v>0</v>
      </c>
      <c r="H20" s="8"/>
      <c r="I20" s="75" t="e">
        <f>IF(AND('Исходные данные'!#REF!=3,'Исходные данные'!K26=1),IF('Исходные данные'!J26&lt;450,100,IF('Исходные данные'!J26&gt;=450,135,0)),IF(AND('Исходные данные'!#REF!=3,'Исходные данные'!K26=2),IF('Исходные данные'!J26&lt;450,100,IF('Исходные данные'!J26&gt;=450,135,0)),IF(AND('Исходные данные'!#REF!=1,'Исходные данные'!K26=1),IF(AND('Исходные данные'!J26&gt;250,'Исходные данные'!J26&lt;450),30,IF('Исходные данные'!J26&gt;=450,130,0)),IF(AND('Исходные данные'!#REF!=1,'Исходные данные'!K26=2),IF(AND('Исходные данные'!J26&gt;=240,'Исходные данные'!J26&lt;390),70,IF(AND('Исходные данные'!J26&gt;=390,'Исходные данные'!J26&lt;430),135,IF('Исходные данные'!J26&gt;=430,175,0))),0))))</f>
        <v>#REF!</v>
      </c>
      <c r="J20" s="81"/>
      <c r="K20" s="81"/>
      <c r="L20" s="81"/>
      <c r="M20" s="81"/>
      <c r="N20" s="9" t="e">
        <f t="shared" si="0"/>
        <v>#REF!</v>
      </c>
      <c r="O20" s="9">
        <f t="shared" si="1"/>
        <v>0</v>
      </c>
      <c r="P20" s="9" t="e">
        <f t="shared" si="2"/>
        <v>#REF!</v>
      </c>
      <c r="Q20" s="9">
        <f t="shared" si="3"/>
        <v>0</v>
      </c>
      <c r="T20" s="73"/>
      <c r="U20" s="73"/>
      <c r="V20" s="73"/>
      <c r="W20" s="73"/>
    </row>
    <row r="21" spans="1:23" s="3" customFormat="1">
      <c r="A21" s="63">
        <f>'Исходные данные'!B27</f>
        <v>0</v>
      </c>
      <c r="B21" s="63" t="e">
        <f>IF('Исходные данные'!#REF!=3,"183.00.00.004",IF('Исходные данные'!#REF!=1,"0148.10.005",0))</f>
        <v>#REF!</v>
      </c>
      <c r="C21" s="8"/>
      <c r="D21" s="75" t="e">
        <f>IF(AND('Исходные данные'!#REF!=3,'Исходные данные'!K27=1),'Исходные данные'!I27-5,IF(AND('Исходные данные'!#REF!=3,'Исходные данные'!K27=2),'Исходные данные'!I27-2,IF(AND('Исходные данные'!#REF!=1,'Исходные данные'!K27=1),'Исходные данные'!I27-5,IF(AND('Исходные данные'!#REF!=1,'Исходные данные'!K27=2),'Исходные данные'!I27-5,0))))</f>
        <v>#REF!</v>
      </c>
      <c r="E21" s="67" t="e">
        <f>IF(AND('Исходные данные'!#REF!=3,'Исходные данные'!K27=1),33,IF(AND('Исходные данные'!#REF!=3,'Исходные данные'!K27=2),38,IF(AND('Исходные данные'!#REF!=1,'Исходные данные'!K27=1),34,IF(AND('Исходные данные'!#REF!=1,'Исходные данные'!K27=2),38,0))))</f>
        <v>#REF!</v>
      </c>
      <c r="F21" s="63">
        <v>0.7</v>
      </c>
      <c r="G21" s="63">
        <f>'Исходные данные'!U27</f>
        <v>0</v>
      </c>
      <c r="H21" s="8"/>
      <c r="I21" s="75" t="e">
        <f>IF(AND('Исходные данные'!#REF!=3,'Исходные данные'!K27=1),IF('Исходные данные'!J27&lt;450,100,IF('Исходные данные'!J27&gt;=450,135,0)),IF(AND('Исходные данные'!#REF!=3,'Исходные данные'!K27=2),IF('Исходные данные'!J27&lt;450,100,IF('Исходные данные'!J27&gt;=450,135,0)),IF(AND('Исходные данные'!#REF!=1,'Исходные данные'!K27=1),IF(AND('Исходные данные'!J27&gt;250,'Исходные данные'!J27&lt;450),30,IF('Исходные данные'!J27&gt;=450,130,0)),IF(AND('Исходные данные'!#REF!=1,'Исходные данные'!K27=2),IF(AND('Исходные данные'!J27&gt;=240,'Исходные данные'!J27&lt;390),70,IF(AND('Исходные данные'!J27&gt;=390,'Исходные данные'!J27&lt;430),135,IF('Исходные данные'!J27&gt;=430,175,0))),0))))</f>
        <v>#REF!</v>
      </c>
      <c r="J21" s="81"/>
      <c r="K21" s="81"/>
      <c r="L21" s="81"/>
      <c r="M21" s="81"/>
      <c r="N21" s="9" t="e">
        <f t="shared" si="0"/>
        <v>#REF!</v>
      </c>
      <c r="O21" s="9">
        <f t="shared" si="1"/>
        <v>0</v>
      </c>
      <c r="P21" s="9" t="e">
        <f t="shared" si="2"/>
        <v>#REF!</v>
      </c>
      <c r="Q21" s="9">
        <f t="shared" si="3"/>
        <v>0</v>
      </c>
      <c r="T21" s="73"/>
      <c r="U21" s="73"/>
      <c r="V21" s="73"/>
      <c r="W21" s="73"/>
    </row>
    <row r="22" spans="1:23" s="3" customFormat="1">
      <c r="A22" s="63">
        <f>'Исходные данные'!B28</f>
        <v>0</v>
      </c>
      <c r="B22" s="63" t="e">
        <f>IF('Исходные данные'!#REF!=3,"183.00.00.004",IF('Исходные данные'!#REF!=1,"0148.10.005",0))</f>
        <v>#REF!</v>
      </c>
      <c r="C22" s="8"/>
      <c r="D22" s="75" t="e">
        <f>IF(AND('Исходные данные'!#REF!=3,'Исходные данные'!K28=1),'Исходные данные'!I28-5,IF(AND('Исходные данные'!#REF!=3,'Исходные данные'!K28=2),'Исходные данные'!I28-2,IF(AND('Исходные данные'!#REF!=1,'Исходные данные'!K28=1),'Исходные данные'!I28-5,IF(AND('Исходные данные'!#REF!=1,'Исходные данные'!K28=2),'Исходные данные'!I28-5,0))))</f>
        <v>#REF!</v>
      </c>
      <c r="E22" s="67" t="e">
        <f>IF(AND('Исходные данные'!#REF!=3,'Исходные данные'!K28=1),33,IF(AND('Исходные данные'!#REF!=3,'Исходные данные'!K28=2),38,IF(AND('Исходные данные'!#REF!=1,'Исходные данные'!K28=1),34,IF(AND('Исходные данные'!#REF!=1,'Исходные данные'!K28=2),38,0))))</f>
        <v>#REF!</v>
      </c>
      <c r="F22" s="63">
        <v>0.7</v>
      </c>
      <c r="G22" s="63">
        <f>'Исходные данные'!U28</f>
        <v>0</v>
      </c>
      <c r="H22" s="8"/>
      <c r="I22" s="75" t="e">
        <f>IF(AND('Исходные данные'!#REF!=3,'Исходные данные'!K28=1),IF('Исходные данные'!J28&lt;450,100,IF('Исходные данные'!J28&gt;=450,135,0)),IF(AND('Исходные данные'!#REF!=3,'Исходные данные'!K28=2),IF('Исходные данные'!J28&lt;450,100,IF('Исходные данные'!J28&gt;=450,135,0)),IF(AND('Исходные данные'!#REF!=1,'Исходные данные'!K28=1),IF(AND('Исходные данные'!J28&gt;250,'Исходные данные'!J28&lt;450),30,IF('Исходные данные'!J28&gt;=450,130,0)),IF(AND('Исходные данные'!#REF!=1,'Исходные данные'!K28=2),IF(AND('Исходные данные'!J28&gt;=240,'Исходные данные'!J28&lt;390),70,IF(AND('Исходные данные'!J28&gt;=390,'Исходные данные'!J28&lt;430),135,IF('Исходные данные'!J28&gt;=430,175,0))),0))))</f>
        <v>#REF!</v>
      </c>
      <c r="J22" s="81"/>
      <c r="K22" s="81"/>
      <c r="L22" s="81"/>
      <c r="M22" s="81"/>
      <c r="N22" s="9" t="e">
        <f t="shared" si="0"/>
        <v>#REF!</v>
      </c>
      <c r="O22" s="9">
        <f t="shared" si="1"/>
        <v>0</v>
      </c>
      <c r="P22" s="9" t="e">
        <f t="shared" si="2"/>
        <v>#REF!</v>
      </c>
      <c r="Q22" s="9">
        <f t="shared" si="3"/>
        <v>0</v>
      </c>
      <c r="T22" s="73"/>
      <c r="U22" s="73"/>
      <c r="V22" s="73"/>
      <c r="W22" s="73"/>
    </row>
    <row r="23" spans="1:23" s="3" customFormat="1">
      <c r="A23" s="63">
        <f>'Исходные данные'!B29</f>
        <v>0</v>
      </c>
      <c r="B23" s="63" t="e">
        <f>IF('Исходные данные'!#REF!=3,"183.00.00.004",IF('Исходные данные'!#REF!=1,"0148.10.005",0))</f>
        <v>#REF!</v>
      </c>
      <c r="C23" s="8"/>
      <c r="D23" s="75" t="e">
        <f>IF(AND('Исходные данные'!#REF!=3,'Исходные данные'!K29=1),'Исходные данные'!I29-5,IF(AND('Исходные данные'!#REF!=3,'Исходные данные'!K29=2),'Исходные данные'!I29-2,IF(AND('Исходные данные'!#REF!=1,'Исходные данные'!K29=1),'Исходные данные'!I29-5,IF(AND('Исходные данные'!#REF!=1,'Исходные данные'!K29=2),'Исходные данные'!I29-5,0))))</f>
        <v>#REF!</v>
      </c>
      <c r="E23" s="67" t="e">
        <f>IF(AND('Исходные данные'!#REF!=3,'Исходные данные'!K29=1),33,IF(AND('Исходные данные'!#REF!=3,'Исходные данные'!K29=2),38,IF(AND('Исходные данные'!#REF!=1,'Исходные данные'!K29=1),34,IF(AND('Исходные данные'!#REF!=1,'Исходные данные'!K29=2),38,0))))</f>
        <v>#REF!</v>
      </c>
      <c r="F23" s="63">
        <v>0.7</v>
      </c>
      <c r="G23" s="63">
        <f>'Исходные данные'!U29</f>
        <v>0</v>
      </c>
      <c r="H23" s="8"/>
      <c r="I23" s="75" t="e">
        <f>IF(AND('Исходные данные'!#REF!=3,'Исходные данные'!K29=1),IF('Исходные данные'!J29&lt;450,100,IF('Исходные данные'!J29&gt;=450,135,0)),IF(AND('Исходные данные'!#REF!=3,'Исходные данные'!K29=2),IF('Исходные данные'!J29&lt;450,100,IF('Исходные данные'!J29&gt;=450,135,0)),IF(AND('Исходные данные'!#REF!=1,'Исходные данные'!K29=1),IF(AND('Исходные данные'!J29&gt;250,'Исходные данные'!J29&lt;450),30,IF('Исходные данные'!J29&gt;=450,130,0)),IF(AND('Исходные данные'!#REF!=1,'Исходные данные'!K29=2),IF(AND('Исходные данные'!J29&gt;=240,'Исходные данные'!J29&lt;390),70,IF(AND('Исходные данные'!J29&gt;=390,'Исходные данные'!J29&lt;430),135,IF('Исходные данные'!J29&gt;=430,175,0))),0))))</f>
        <v>#REF!</v>
      </c>
      <c r="J23" s="81"/>
      <c r="K23" s="81"/>
      <c r="L23" s="81"/>
      <c r="M23" s="81"/>
      <c r="N23" s="9" t="e">
        <f t="shared" si="0"/>
        <v>#REF!</v>
      </c>
      <c r="O23" s="9">
        <f t="shared" si="1"/>
        <v>0</v>
      </c>
      <c r="P23" s="9" t="e">
        <f t="shared" si="2"/>
        <v>#REF!</v>
      </c>
      <c r="Q23" s="9">
        <f t="shared" si="3"/>
        <v>0</v>
      </c>
      <c r="T23" s="73"/>
      <c r="U23" s="73"/>
      <c r="V23" s="73"/>
      <c r="W23" s="73"/>
    </row>
    <row r="24" spans="1:23" s="3" customFormat="1">
      <c r="A24" s="63">
        <f>'Исходные данные'!B30</f>
        <v>0</v>
      </c>
      <c r="B24" s="63" t="e">
        <f>IF('Исходные данные'!#REF!=3,"183.00.00.004",IF('Исходные данные'!#REF!=1,"0148.10.005",0))</f>
        <v>#REF!</v>
      </c>
      <c r="C24" s="8"/>
      <c r="D24" s="75" t="e">
        <f>IF(AND('Исходные данные'!#REF!=3,'Исходные данные'!K30=1),'Исходные данные'!I30-5,IF(AND('Исходные данные'!#REF!=3,'Исходные данные'!K30=2),'Исходные данные'!I30-2,IF(AND('Исходные данные'!#REF!=1,'Исходные данные'!K30=1),'Исходные данные'!I30-5,IF(AND('Исходные данные'!#REF!=1,'Исходные данные'!K30=2),'Исходные данные'!I30-5,0))))</f>
        <v>#REF!</v>
      </c>
      <c r="E24" s="67" t="e">
        <f>IF(AND('Исходные данные'!#REF!=3,'Исходные данные'!K30=1),33,IF(AND('Исходные данные'!#REF!=3,'Исходные данные'!K30=2),38,IF(AND('Исходные данные'!#REF!=1,'Исходные данные'!K30=1),34,IF(AND('Исходные данные'!#REF!=1,'Исходные данные'!K30=2),38,0))))</f>
        <v>#REF!</v>
      </c>
      <c r="F24" s="63">
        <v>0.7</v>
      </c>
      <c r="G24" s="63">
        <f>'Исходные данные'!U30</f>
        <v>0</v>
      </c>
      <c r="H24" s="8"/>
      <c r="I24" s="75" t="e">
        <f>IF(AND('Исходные данные'!#REF!=3,'Исходные данные'!K30=1),IF('Исходные данные'!J30&lt;450,100,IF('Исходные данные'!J30&gt;=450,135,0)),IF(AND('Исходные данные'!#REF!=3,'Исходные данные'!K30=2),IF('Исходные данные'!J30&lt;450,100,IF('Исходные данные'!J30&gt;=450,135,0)),IF(AND('Исходные данные'!#REF!=1,'Исходные данные'!K30=1),IF(AND('Исходные данные'!J30&gt;250,'Исходные данные'!J30&lt;450),30,IF('Исходные данные'!J30&gt;=450,130,0)),IF(AND('Исходные данные'!#REF!=1,'Исходные данные'!K30=2),IF(AND('Исходные данные'!J30&gt;=240,'Исходные данные'!J30&lt;390),70,IF(AND('Исходные данные'!J30&gt;=390,'Исходные данные'!J30&lt;430),135,IF('Исходные данные'!J30&gt;=430,175,0))),0))))</f>
        <v>#REF!</v>
      </c>
      <c r="J24" s="81"/>
      <c r="K24" s="81"/>
      <c r="L24" s="81"/>
      <c r="M24" s="81"/>
      <c r="N24" s="9" t="e">
        <f t="shared" si="0"/>
        <v>#REF!</v>
      </c>
      <c r="O24" s="9">
        <f t="shared" si="1"/>
        <v>0</v>
      </c>
      <c r="P24" s="9" t="e">
        <f t="shared" si="2"/>
        <v>#REF!</v>
      </c>
      <c r="Q24" s="9">
        <f t="shared" si="3"/>
        <v>0</v>
      </c>
      <c r="T24" s="73"/>
      <c r="U24" s="73"/>
      <c r="V24" s="73"/>
      <c r="W24" s="73"/>
    </row>
    <row r="25" spans="1:23" s="3" customFormat="1">
      <c r="A25" s="30"/>
      <c r="J25" s="80"/>
      <c r="K25" s="80"/>
      <c r="L25" s="80"/>
      <c r="M25" s="80"/>
      <c r="P25" s="3" t="e">
        <f>SUM(P10:P24)</f>
        <v>#REF!</v>
      </c>
      <c r="Q25" s="3">
        <f>SUM(Q10:Q24)</f>
        <v>0</v>
      </c>
      <c r="T25" s="73"/>
      <c r="U25" s="73"/>
      <c r="V25" s="73"/>
      <c r="W25" s="73"/>
    </row>
    <row r="26" spans="1:23" s="3" customFormat="1">
      <c r="A26" s="30"/>
      <c r="J26" s="80"/>
      <c r="K26" s="80"/>
      <c r="L26" s="80"/>
      <c r="M26" s="80"/>
    </row>
    <row r="27" spans="1:23" s="3" customFormat="1" ht="30" customHeight="1">
      <c r="A27" s="30"/>
      <c r="B27" s="2" t="s">
        <v>40</v>
      </c>
      <c r="C27" s="2" t="s">
        <v>41</v>
      </c>
      <c r="D27" s="557" t="s">
        <v>42</v>
      </c>
      <c r="E27" s="557"/>
      <c r="F27" s="557"/>
      <c r="J27" s="80"/>
      <c r="K27" s="80"/>
      <c r="L27" s="80"/>
      <c r="M27" s="80"/>
    </row>
    <row r="28" spans="1:23" s="3" customFormat="1">
      <c r="A28" s="30"/>
      <c r="J28" s="80"/>
      <c r="K28" s="80"/>
      <c r="L28" s="80"/>
      <c r="M28" s="80"/>
    </row>
    <row r="29" spans="1:23" s="3" customFormat="1">
      <c r="A29" s="30"/>
      <c r="B29" s="2" t="s">
        <v>13</v>
      </c>
      <c r="C29" s="2" t="s">
        <v>41</v>
      </c>
      <c r="D29" s="549" t="s">
        <v>44</v>
      </c>
      <c r="E29" s="549"/>
      <c r="F29" s="549"/>
      <c r="H29" s="99">
        <v>0.192</v>
      </c>
      <c r="J29" s="80"/>
      <c r="K29" s="80"/>
      <c r="L29" s="80"/>
      <c r="M29" s="80"/>
    </row>
    <row r="31" spans="1:23">
      <c r="A31" s="45"/>
      <c r="B31" s="45"/>
      <c r="C31" s="45"/>
      <c r="D31" s="45"/>
      <c r="E31" s="45"/>
      <c r="F31" s="45"/>
      <c r="G31" s="45"/>
      <c r="H31" s="45"/>
    </row>
    <row r="32" spans="1:23" ht="21">
      <c r="A32" s="46" t="s">
        <v>61</v>
      </c>
      <c r="B32" s="46"/>
      <c r="C32" s="46"/>
      <c r="D32" s="46"/>
      <c r="E32" s="46"/>
      <c r="F32" s="20"/>
      <c r="G32" s="20"/>
      <c r="H32" s="20"/>
    </row>
    <row r="33" spans="1:8">
      <c r="A33" s="20"/>
      <c r="B33" s="20"/>
      <c r="C33" s="20"/>
      <c r="D33" s="20"/>
      <c r="E33" s="20"/>
      <c r="F33" s="20"/>
      <c r="G33" s="20"/>
      <c r="H33" s="20"/>
    </row>
    <row r="34" spans="1:8" ht="18.75">
      <c r="A34" s="40" t="s">
        <v>70</v>
      </c>
      <c r="B34" s="40"/>
      <c r="C34" s="40"/>
      <c r="D34" s="40">
        <f>'Исходные данные'!J12</f>
        <v>4444</v>
      </c>
      <c r="E34" s="20"/>
      <c r="F34" s="40"/>
      <c r="G34" s="20"/>
      <c r="H34" s="20"/>
    </row>
    <row r="35" spans="1:8">
      <c r="A35" s="20" t="s">
        <v>75</v>
      </c>
      <c r="B35" s="20"/>
      <c r="C35" s="20"/>
      <c r="D35" s="20"/>
      <c r="E35" s="20"/>
      <c r="F35" s="20"/>
      <c r="G35" s="20"/>
      <c r="H35" s="20"/>
    </row>
    <row r="36" spans="1:8">
      <c r="A36" s="20" t="s">
        <v>62</v>
      </c>
      <c r="B36" s="20"/>
      <c r="C36" s="20"/>
      <c r="D36" s="20"/>
      <c r="E36" s="20"/>
      <c r="F36" s="20"/>
      <c r="G36" s="20"/>
      <c r="H36" s="20"/>
    </row>
    <row r="37" spans="1:8">
      <c r="A37" s="20"/>
      <c r="B37" s="20"/>
      <c r="C37" s="20"/>
      <c r="D37" s="20"/>
      <c r="E37" s="20"/>
      <c r="F37" s="20"/>
      <c r="G37" s="20"/>
      <c r="H37" s="20"/>
    </row>
    <row r="38" spans="1:8">
      <c r="A38" s="20" t="s">
        <v>40</v>
      </c>
      <c r="B38" s="20" t="s">
        <v>45</v>
      </c>
      <c r="C38" s="20"/>
      <c r="D38" s="20"/>
      <c r="E38" s="20"/>
      <c r="F38" s="20" t="s">
        <v>128</v>
      </c>
      <c r="G38" s="20"/>
      <c r="H38" s="20"/>
    </row>
    <row r="39" spans="1:8">
      <c r="A39" s="20"/>
      <c r="B39" s="20"/>
      <c r="C39" s="20"/>
      <c r="D39" s="20"/>
      <c r="E39" s="20"/>
      <c r="F39" s="20"/>
      <c r="G39" s="20"/>
      <c r="H39" s="20"/>
    </row>
    <row r="40" spans="1:8">
      <c r="A40" s="20" t="s">
        <v>63</v>
      </c>
      <c r="B40" s="20"/>
      <c r="C40" s="20"/>
      <c r="D40" s="20"/>
      <c r="E40" s="20"/>
      <c r="F40" s="20" t="s">
        <v>128</v>
      </c>
      <c r="G40" s="20"/>
      <c r="H40" s="20"/>
    </row>
    <row r="41" spans="1:8">
      <c r="A41" s="20"/>
      <c r="B41" s="20"/>
      <c r="C41" s="20"/>
      <c r="D41" s="20"/>
      <c r="E41" s="20"/>
      <c r="F41" s="20"/>
      <c r="G41" s="20"/>
      <c r="H41" s="20"/>
    </row>
    <row r="42" spans="1:8">
      <c r="A42" s="20"/>
      <c r="B42" s="20"/>
      <c r="C42" s="20"/>
      <c r="D42" s="20"/>
      <c r="E42" s="20"/>
      <c r="F42" s="20"/>
      <c r="G42" s="20"/>
      <c r="H42" s="20"/>
    </row>
    <row r="43" spans="1:8">
      <c r="A43" s="20" t="s">
        <v>64</v>
      </c>
      <c r="B43" s="20"/>
      <c r="C43" s="20"/>
      <c r="D43" s="20"/>
      <c r="E43" s="20"/>
      <c r="F43" s="20" t="s">
        <v>128</v>
      </c>
      <c r="G43" s="20"/>
      <c r="H43" s="20"/>
    </row>
    <row r="44" spans="1:8">
      <c r="A44" s="20"/>
      <c r="B44" s="20"/>
      <c r="C44" s="20"/>
      <c r="D44" s="20"/>
      <c r="E44" s="20"/>
      <c r="F44" s="20"/>
      <c r="G44" s="20"/>
      <c r="H44" s="20"/>
    </row>
  </sheetData>
  <mergeCells count="15">
    <mergeCell ref="T8:W8"/>
    <mergeCell ref="A8:A9"/>
    <mergeCell ref="B8:B9"/>
    <mergeCell ref="C8:C9"/>
    <mergeCell ref="H8:H9"/>
    <mergeCell ref="J8:J9"/>
    <mergeCell ref="K8:K9"/>
    <mergeCell ref="L8:L9"/>
    <mergeCell ref="M8:M9"/>
    <mergeCell ref="D27:F27"/>
    <mergeCell ref="D29:F29"/>
    <mergeCell ref="I8:I9"/>
    <mergeCell ref="E8:E9"/>
    <mergeCell ref="F8:F9"/>
    <mergeCell ref="G8:G9"/>
  </mergeCells>
  <pageMargins left="7.874015748031496E-2" right="7.874015748031496E-2" top="0.74803149606299213" bottom="0.74803149606299213" header="0.31496062992125984" footer="0.31496062992125984"/>
  <pageSetup paperSize="9" scale="7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V44"/>
  <sheetViews>
    <sheetView workbookViewId="0">
      <selection activeCell="F33" sqref="F33"/>
    </sheetView>
  </sheetViews>
  <sheetFormatPr defaultRowHeight="15"/>
  <cols>
    <col min="2" max="2" width="16" customWidth="1"/>
    <col min="3" max="3" width="14" customWidth="1"/>
    <col min="4" max="4" width="8.5703125" customWidth="1"/>
    <col min="5" max="5" width="7" customWidth="1"/>
    <col min="6" max="6" width="9.5703125" customWidth="1"/>
    <col min="7" max="8" width="7.140625" customWidth="1"/>
    <col min="10" max="10" width="12.85546875" customWidth="1"/>
    <col min="11" max="11" width="13.28515625" customWidth="1"/>
    <col min="12" max="12" width="12.28515625" customWidth="1"/>
    <col min="13" max="13" width="11.42578125" customWidth="1"/>
  </cols>
  <sheetData>
    <row r="2" spans="1:22" ht="21">
      <c r="B2" s="33" t="str">
        <f>'Исходные данные'!B12</f>
        <v>Сопроводительный лист</v>
      </c>
      <c r="E2" s="33">
        <f>'Исходные данные'!J12</f>
        <v>4444</v>
      </c>
    </row>
    <row r="6" spans="1:22" ht="23.25">
      <c r="C6" s="19" t="s">
        <v>134</v>
      </c>
    </row>
    <row r="8" spans="1:22" ht="24.75" customHeight="1">
      <c r="A8" s="555" t="s">
        <v>8</v>
      </c>
      <c r="B8" s="555" t="s">
        <v>14</v>
      </c>
      <c r="C8" s="555" t="s">
        <v>21</v>
      </c>
      <c r="D8" s="4" t="s">
        <v>18</v>
      </c>
      <c r="E8" s="562" t="s">
        <v>4</v>
      </c>
      <c r="F8" s="562" t="s">
        <v>5</v>
      </c>
      <c r="G8" s="562" t="s">
        <v>2</v>
      </c>
      <c r="H8" s="561"/>
      <c r="I8" s="562" t="s">
        <v>3</v>
      </c>
      <c r="J8" s="550" t="s">
        <v>122</v>
      </c>
      <c r="K8" s="550" t="s">
        <v>123</v>
      </c>
      <c r="L8" s="550" t="s">
        <v>124</v>
      </c>
      <c r="M8" s="550" t="s">
        <v>123</v>
      </c>
      <c r="S8" s="557" t="s">
        <v>96</v>
      </c>
      <c r="T8" s="557"/>
      <c r="U8" s="557"/>
      <c r="V8" s="557"/>
    </row>
    <row r="9" spans="1:22" ht="31.5" customHeight="1">
      <c r="A9" s="556"/>
      <c r="B9" s="556"/>
      <c r="C9" s="556"/>
      <c r="D9" s="7" t="s">
        <v>22</v>
      </c>
      <c r="E9" s="562"/>
      <c r="F9" s="562"/>
      <c r="G9" s="562"/>
      <c r="H9" s="561"/>
      <c r="I9" s="562"/>
      <c r="J9" s="551"/>
      <c r="K9" s="551"/>
      <c r="L9" s="551"/>
      <c r="M9" s="551"/>
      <c r="N9" s="2" t="s">
        <v>10</v>
      </c>
      <c r="O9" s="2" t="s">
        <v>11</v>
      </c>
      <c r="P9" s="2" t="s">
        <v>12</v>
      </c>
      <c r="Q9" s="2" t="s">
        <v>13</v>
      </c>
      <c r="S9" s="74" t="s">
        <v>97</v>
      </c>
      <c r="T9" s="74" t="s">
        <v>98</v>
      </c>
      <c r="U9" s="74" t="s">
        <v>99</v>
      </c>
      <c r="V9" s="74" t="s">
        <v>100</v>
      </c>
    </row>
    <row r="10" spans="1:22" s="3" customFormat="1" ht="22.5">
      <c r="A10" s="31">
        <f>'Исходные данные'!B16</f>
        <v>0</v>
      </c>
      <c r="B10" s="104" t="s">
        <v>135</v>
      </c>
      <c r="C10" s="98" t="s">
        <v>9</v>
      </c>
      <c r="D10" s="7">
        <v>256.5</v>
      </c>
      <c r="E10" s="7">
        <v>42.7</v>
      </c>
      <c r="F10" s="7">
        <v>1</v>
      </c>
      <c r="G10" s="7">
        <f>'Исходные данные'!U16*2</f>
        <v>0</v>
      </c>
      <c r="H10" s="7"/>
      <c r="I10" s="7" t="e">
        <f>IF(AND('Исходные данные'!#REF!=3,'Исходные данные'!K16=1),IF('Исходные данные'!J16&lt;450,100,IF('Исходные данные'!J16&gt;=450,135,0)),IF(AND('Исходные данные'!#REF!=3,'Исходные данные'!K16=2),IF('Исходные данные'!J16&lt;450,100,IF('Исходные данные'!J16&gt;=450,135,0)),IF(AND('Исходные данные'!#REF!=1,'Исходные данные'!K16=1),IF(AND('Исходные данные'!J16&gt;250,'Исходные данные'!J16&lt;450),30,IF('Исходные данные'!J16&gt;=450,130,0)),IF(AND('Исходные данные'!#REF!=1,'Исходные данные'!K16=2),IF(AND('Исходные данные'!J16&gt;=240,'Исходные данные'!J16&lt;390),0,IF(AND('Исходные данные'!J16&gt;=390,'Исходные данные'!J16&lt;430),80,IF('Исходные данные'!J16&gt;=430,120,0))),0))))</f>
        <v>#REF!</v>
      </c>
      <c r="J10" s="83"/>
      <c r="K10" s="83"/>
      <c r="L10" s="83"/>
      <c r="M10" s="83"/>
      <c r="N10" s="3">
        <f>IF(D10&lt;500,0.008*G10,IF(D10&lt;1500,0.014*G10,IF(D10&lt;5000,0.022*G10,IF(D10&lt;2500,0.048*G10,0))))</f>
        <v>0</v>
      </c>
      <c r="O10" s="3">
        <f>G10*0.004</f>
        <v>0</v>
      </c>
      <c r="P10" s="3">
        <f>N10+O10</f>
        <v>0</v>
      </c>
      <c r="Q10" s="3">
        <f>0.008*G10</f>
        <v>0</v>
      </c>
      <c r="S10" s="74" t="e">
        <f>IF(AND('Исходные данные'!#REF!=3,'Исходные данные'!K16=1),1,0)</f>
        <v>#REF!</v>
      </c>
      <c r="T10" s="74" t="e">
        <f>IF(AND('Исходные данные'!#REF!=3,'Исходные данные'!K16=2),IF('Исходные данные'!J16&lt;450,100,IF('Исходные данные'!J16&gt;=450,135,0)),0)</f>
        <v>#REF!</v>
      </c>
      <c r="U10" s="74" t="e">
        <f>IF(AND('Исходные данные'!#REF!=1,'Исходные данные'!K16=1),IF(AND('Исходные данные'!J16&gt;250,'Исходные данные'!J16&lt;450),30,IF('Исходные данные'!J16&gt;=450,130,0)),0)</f>
        <v>#REF!</v>
      </c>
      <c r="V10" s="74" t="e">
        <f>IF(AND('Исходные данные'!#REF!=1,'Исходные данные'!K16=2),IF(AND('Исходные данные'!J16&gt;=240,'Исходные данные'!J16&lt;390),0,IF(AND('Исходные данные'!J16&gt;=390,'Исходные данные'!J16&lt;430),80,IF('Исходные данные'!J16&gt;=430,120,0))),0)</f>
        <v>#REF!</v>
      </c>
    </row>
    <row r="11" spans="1:22" s="3" customFormat="1" ht="22.5">
      <c r="A11" s="63">
        <f>'Исходные данные'!B17</f>
        <v>0</v>
      </c>
      <c r="B11" s="92" t="s">
        <v>135</v>
      </c>
      <c r="C11" s="98" t="s">
        <v>9</v>
      </c>
      <c r="D11" s="76">
        <v>256.5</v>
      </c>
      <c r="E11" s="92">
        <v>42.7</v>
      </c>
      <c r="F11" s="92">
        <v>1</v>
      </c>
      <c r="G11" s="64">
        <f>'Исходные данные'!U17*2</f>
        <v>0</v>
      </c>
      <c r="H11" s="8"/>
      <c r="I11" s="170" t="e">
        <f>IF(AND('Исходные данные'!#REF!=3,'Исходные данные'!K17=1),IF('Исходные данные'!J17&lt;450,100,IF('Исходные данные'!J17&gt;=450,135,0)),IF(AND('Исходные данные'!#REF!=3,'Исходные данные'!K17=2),IF('Исходные данные'!J17&lt;450,100,IF('Исходные данные'!J17&gt;=450,135,0)),IF(AND('Исходные данные'!#REF!=1,'Исходные данные'!K17=1),IF(AND('Исходные данные'!J17&gt;250,'Исходные данные'!J17&lt;450),30,IF('Исходные данные'!J17&gt;=450,130,0)),IF(AND('Исходные данные'!#REF!=1,'Исходные данные'!K17=2),IF(AND('Исходные данные'!J17&gt;=240,'Исходные данные'!J17&lt;390),0,IF(AND('Исходные данные'!J17&gt;=390,'Исходные данные'!J17&lt;430),80,IF('Исходные данные'!J17&gt;=430,120,0))),0))))</f>
        <v>#REF!</v>
      </c>
      <c r="J11" s="83"/>
      <c r="K11" s="83"/>
      <c r="L11" s="83"/>
      <c r="M11" s="83"/>
      <c r="N11" s="3">
        <f t="shared" ref="N11:N24" si="0">IF(D11&lt;500,0.008*G11,IF(D11&lt;1500,0.014*G11,IF(D11&lt;5000,0.022*G11,IF(D11&lt;2500,0.048*G11,0))))</f>
        <v>0</v>
      </c>
      <c r="O11" s="3">
        <f t="shared" ref="O11:O24" si="1">G11*0.004</f>
        <v>0</v>
      </c>
      <c r="P11" s="3">
        <f t="shared" ref="P11:P24" si="2">N11+O11</f>
        <v>0</v>
      </c>
      <c r="Q11" s="3">
        <f t="shared" ref="Q11:Q24" si="3">0.008*G11</f>
        <v>0</v>
      </c>
      <c r="S11" s="74" t="e">
        <f>IF(AND('Исходные данные'!#REF!=3,'Исходные данные'!K17=1),IF('Исходные данные'!J17&lt;450,100,IF('Исходные данные'!J17&gt;=450,135,0)),0)</f>
        <v>#REF!</v>
      </c>
      <c r="T11" s="74" t="e">
        <f>IF(AND('Исходные данные'!#REF!=3,'Исходные данные'!K17=2),IF('Исходные данные'!J17&lt;450,100,IF('Исходные данные'!J17&gt;=450,135,0)),0)</f>
        <v>#REF!</v>
      </c>
      <c r="U11" s="74" t="e">
        <f>IF(AND('Исходные данные'!#REF!=1,'Исходные данные'!K17=1),IF(AND('Исходные данные'!J17&gt;250,'Исходные данные'!J17&lt;450),30,IF('Исходные данные'!J17&gt;=450,130,0)),0)</f>
        <v>#REF!</v>
      </c>
      <c r="V11" s="74" t="e">
        <f>IF(AND('Исходные данные'!#REF!=1,'Исходные данные'!K17=2),IF(AND('Исходные данные'!J17&gt;=240,'Исходные данные'!J17&lt;390),0,IF(AND('Исходные данные'!J17&gt;=390,'Исходные данные'!J17&lt;430),80,IF('Исходные данные'!J17&gt;=430,120,0))),0)</f>
        <v>#REF!</v>
      </c>
    </row>
    <row r="12" spans="1:22" s="3" customFormat="1" ht="22.5">
      <c r="A12" s="63">
        <f>'Исходные данные'!B18</f>
        <v>0</v>
      </c>
      <c r="B12" s="94" t="s">
        <v>135</v>
      </c>
      <c r="C12" s="98" t="s">
        <v>9</v>
      </c>
      <c r="D12" s="76">
        <v>556.5</v>
      </c>
      <c r="E12" s="94">
        <v>42.7</v>
      </c>
      <c r="F12" s="94">
        <v>1</v>
      </c>
      <c r="G12" s="64">
        <f>'Исходные данные'!U18*2</f>
        <v>0</v>
      </c>
      <c r="H12" s="8"/>
      <c r="I12" s="170" t="e">
        <f>IF(AND('Исходные данные'!#REF!=3,'Исходные данные'!K18=1),IF('Исходные данные'!J18&lt;450,100,IF('Исходные данные'!J18&gt;=450,135,0)),IF(AND('Исходные данные'!#REF!=3,'Исходные данные'!K18=2),IF('Исходные данные'!J18&lt;450,100,IF('Исходные данные'!J18&gt;=450,135,0)),IF(AND('Исходные данные'!#REF!=1,'Исходные данные'!K18=1),IF(AND('Исходные данные'!J18&gt;250,'Исходные данные'!J18&lt;450),30,IF('Исходные данные'!J18&gt;=450,130,0)),IF(AND('Исходные данные'!#REF!=1,'Исходные данные'!K18=2),IF(AND('Исходные данные'!J18&gt;=240,'Исходные данные'!J18&lt;390),0,IF(AND('Исходные данные'!J18&gt;=390,'Исходные данные'!J18&lt;430),80,IF('Исходные данные'!J18&gt;=430,120,0))),0))))</f>
        <v>#REF!</v>
      </c>
      <c r="J12" s="83"/>
      <c r="K12" s="83"/>
      <c r="L12" s="83"/>
      <c r="M12" s="83"/>
      <c r="N12" s="3">
        <f t="shared" si="0"/>
        <v>0</v>
      </c>
      <c r="O12" s="3">
        <f t="shared" si="1"/>
        <v>0</v>
      </c>
      <c r="P12" s="3">
        <f t="shared" si="2"/>
        <v>0</v>
      </c>
      <c r="Q12" s="3">
        <f t="shared" si="3"/>
        <v>0</v>
      </c>
      <c r="S12" s="74" t="e">
        <f>IF(AND('Исходные данные'!#REF!=3,'Исходные данные'!K18=1),IF('Исходные данные'!J18&lt;450,100,IF('Исходные данные'!J18&gt;=450,135,0)),0)</f>
        <v>#REF!</v>
      </c>
      <c r="T12" s="74" t="e">
        <f>IF(AND('Исходные данные'!#REF!=3,'Исходные данные'!K18=2),IF('Исходные данные'!J18&lt;450,100,IF('Исходные данные'!J18&gt;=450,135,0)),0)</f>
        <v>#REF!</v>
      </c>
      <c r="U12" s="74" t="e">
        <f>IF(AND('Исходные данные'!#REF!=1,'Исходные данные'!K18=1),IF(AND('Исходные данные'!J18&gt;250,'Исходные данные'!J18&lt;450),30,IF('Исходные данные'!J18&gt;=450,130,0)),0)</f>
        <v>#REF!</v>
      </c>
      <c r="V12" s="74" t="e">
        <f>IF(AND('Исходные данные'!#REF!=1,'Исходные данные'!K18=2),IF(AND('Исходные данные'!J18&gt;=240,'Исходные данные'!J18&lt;390),0,IF(AND('Исходные данные'!J18&gt;=390,'Исходные данные'!J18&lt;430),80,IF('Исходные данные'!J18&gt;=430,120,0))),0)</f>
        <v>#REF!</v>
      </c>
    </row>
    <row r="13" spans="1:22" s="3" customFormat="1" ht="22.5">
      <c r="A13" s="63">
        <f>'Исходные данные'!B19</f>
        <v>0</v>
      </c>
      <c r="B13" s="94" t="s">
        <v>135</v>
      </c>
      <c r="C13" s="98" t="s">
        <v>9</v>
      </c>
      <c r="D13" s="76">
        <v>506.5</v>
      </c>
      <c r="E13" s="94">
        <v>42.7</v>
      </c>
      <c r="F13" s="94">
        <v>1</v>
      </c>
      <c r="G13" s="64">
        <f>'Исходные данные'!U19*2</f>
        <v>0</v>
      </c>
      <c r="H13" s="8"/>
      <c r="I13" s="170" t="e">
        <f>IF(AND('Исходные данные'!#REF!=3,'Исходные данные'!K19=1),IF('Исходные данные'!J19&lt;450,100,IF('Исходные данные'!J19&gt;=450,135,0)),IF(AND('Исходные данные'!#REF!=3,'Исходные данные'!K19=2),IF('Исходные данные'!J19&lt;450,100,IF('Исходные данные'!J19&gt;=450,135,0)),IF(AND('Исходные данные'!#REF!=1,'Исходные данные'!K19=1),IF(AND('Исходные данные'!J19&gt;250,'Исходные данные'!J19&lt;450),30,IF('Исходные данные'!J19&gt;=450,130,0)),IF(AND('Исходные данные'!#REF!=1,'Исходные данные'!K19=2),IF(AND('Исходные данные'!J19&gt;=240,'Исходные данные'!J19&lt;390),0,IF(AND('Исходные данные'!J19&gt;=390,'Исходные данные'!J19&lt;430),80,IF('Исходные данные'!J19&gt;=430,120,0))),0))))</f>
        <v>#REF!</v>
      </c>
      <c r="J13" s="83"/>
      <c r="K13" s="83"/>
      <c r="L13" s="83"/>
      <c r="M13" s="83"/>
      <c r="N13" s="3">
        <f t="shared" si="0"/>
        <v>0</v>
      </c>
      <c r="O13" s="3">
        <f t="shared" si="1"/>
        <v>0</v>
      </c>
      <c r="P13" s="3">
        <f t="shared" si="2"/>
        <v>0</v>
      </c>
      <c r="Q13" s="3">
        <f t="shared" si="3"/>
        <v>0</v>
      </c>
      <c r="S13" s="74" t="e">
        <f>IF(AND('Исходные данные'!#REF!=3,'Исходные данные'!K19=1),IF('Исходные данные'!J19&lt;450,100,IF('Исходные данные'!J19&gt;=450,135,0)),0)</f>
        <v>#REF!</v>
      </c>
      <c r="T13" s="74" t="e">
        <f>IF(AND('Исходные данные'!#REF!=3,'Исходные данные'!K19=2),IF('Исходные данные'!J19&lt;450,100,IF('Исходные данные'!J19&gt;=450,135,0)),0)</f>
        <v>#REF!</v>
      </c>
      <c r="U13" s="74" t="e">
        <f>IF(AND('Исходные данные'!#REF!=1,'Исходные данные'!K19=1),IF(AND('Исходные данные'!J19&gt;250,'Исходные данные'!J19&lt;450),30,IF('Исходные данные'!J19&gt;=450,130,0)),0)</f>
        <v>#REF!</v>
      </c>
      <c r="V13" s="74" t="e">
        <f>IF(AND('Исходные данные'!#REF!=1,'Исходные данные'!K19=2),IF(AND('Исходные данные'!J19&gt;=240,'Исходные данные'!J19&lt;390),0,IF(AND('Исходные данные'!J19&gt;=390,'Исходные данные'!J19&lt;430),80,IF('Исходные данные'!J19&gt;=430,120,0))),0)</f>
        <v>#REF!</v>
      </c>
    </row>
    <row r="14" spans="1:22" s="3" customFormat="1">
      <c r="A14" s="63">
        <f>'Исходные данные'!B20</f>
        <v>0</v>
      </c>
      <c r="B14" s="94"/>
      <c r="C14" s="98"/>
      <c r="D14" s="76"/>
      <c r="E14" s="94"/>
      <c r="F14" s="94"/>
      <c r="G14" s="64"/>
      <c r="H14" s="8"/>
      <c r="I14" s="170" t="e">
        <f>IF(AND('Исходные данные'!#REF!=3,'Исходные данные'!K20=1),IF('Исходные данные'!J20&lt;450,100,IF('Исходные данные'!J20&gt;=450,135,0)),IF(AND('Исходные данные'!#REF!=3,'Исходные данные'!K20=2),IF('Исходные данные'!J20&lt;450,100,IF('Исходные данные'!J20&gt;=450,135,0)),IF(AND('Исходные данные'!#REF!=1,'Исходные данные'!K20=1),IF(AND('Исходные данные'!J20&gt;250,'Исходные данные'!J20&lt;450),30,IF('Исходные данные'!J20&gt;=450,130,0)),IF(AND('Исходные данные'!#REF!=1,'Исходные данные'!K20=2),IF(AND('Исходные данные'!J20&gt;=240,'Исходные данные'!J20&lt;390),0,IF(AND('Исходные данные'!J20&gt;=390,'Исходные данные'!J20&lt;430),80,IF('Исходные данные'!J20&gt;=430,120,0))),0))))</f>
        <v>#REF!</v>
      </c>
      <c r="J14" s="83"/>
      <c r="K14" s="83"/>
      <c r="L14" s="83"/>
      <c r="M14" s="83"/>
      <c r="N14" s="3">
        <f t="shared" si="0"/>
        <v>0</v>
      </c>
      <c r="O14" s="3">
        <f t="shared" si="1"/>
        <v>0</v>
      </c>
      <c r="P14" s="3">
        <f t="shared" si="2"/>
        <v>0</v>
      </c>
      <c r="Q14" s="3">
        <f t="shared" si="3"/>
        <v>0</v>
      </c>
      <c r="S14" s="74" t="e">
        <f>IF(AND('Исходные данные'!#REF!=3,'Исходные данные'!K20=1),IF('Исходные данные'!J20&lt;450,100,IF('Исходные данные'!J20&gt;=450,135,0)),0)</f>
        <v>#REF!</v>
      </c>
      <c r="T14" s="74" t="e">
        <f>IF(AND('Исходные данные'!#REF!=3,'Исходные данные'!K20=2),IF('Исходные данные'!J20&lt;450,100,IF('Исходные данные'!J20&gt;=450,135,0)),0)</f>
        <v>#REF!</v>
      </c>
      <c r="U14" s="74" t="e">
        <f>IF(AND('Исходные данные'!#REF!=1,'Исходные данные'!K20=1),IF(AND('Исходные данные'!J20&gt;250,'Исходные данные'!J20&lt;450),30,IF('Исходные данные'!J20&gt;=450,130,0)),0)</f>
        <v>#REF!</v>
      </c>
      <c r="V14" s="74" t="e">
        <f>IF(AND('Исходные данные'!#REF!=1,'Исходные данные'!K20=2),IF(AND('Исходные данные'!J20&gt;=240,'Исходные данные'!J20&lt;390),0,IF(AND('Исходные данные'!J20&gt;=390,'Исходные данные'!J20&lt;430),80,IF('Исходные данные'!J20&gt;=430,120,0))),0)</f>
        <v>#REF!</v>
      </c>
    </row>
    <row r="15" spans="1:22" s="3" customFormat="1">
      <c r="A15" s="63">
        <f>'Исходные данные'!B21</f>
        <v>0</v>
      </c>
      <c r="B15" s="94"/>
      <c r="C15" s="98"/>
      <c r="D15" s="76"/>
      <c r="E15" s="94"/>
      <c r="F15" s="94"/>
      <c r="G15" s="64"/>
      <c r="H15" s="8"/>
      <c r="I15" s="170" t="e">
        <f>IF(AND('Исходные данные'!#REF!=3,'Исходные данные'!K21=1),IF('Исходные данные'!J21&lt;450,100,IF('Исходные данные'!J21&gt;=450,135,0)),IF(AND('Исходные данные'!#REF!=3,'Исходные данные'!K21=2),IF('Исходные данные'!J21&lt;450,100,IF('Исходные данные'!J21&gt;=450,135,0)),IF(AND('Исходные данные'!#REF!=1,'Исходные данные'!K21=1),IF(AND('Исходные данные'!J21&gt;250,'Исходные данные'!J21&lt;450),30,IF('Исходные данные'!J21&gt;=450,130,0)),IF(AND('Исходные данные'!#REF!=1,'Исходные данные'!K21=2),IF(AND('Исходные данные'!J21&gt;=240,'Исходные данные'!J21&lt;390),0,IF(AND('Исходные данные'!J21&gt;=390,'Исходные данные'!J21&lt;430),80,IF('Исходные данные'!J21&gt;=430,120,0))),0))))</f>
        <v>#REF!</v>
      </c>
      <c r="J15" s="83"/>
      <c r="K15" s="83"/>
      <c r="L15" s="83"/>
      <c r="M15" s="83"/>
      <c r="N15" s="3">
        <f t="shared" si="0"/>
        <v>0</v>
      </c>
      <c r="O15" s="3">
        <f t="shared" si="1"/>
        <v>0</v>
      </c>
      <c r="P15" s="3">
        <f t="shared" si="2"/>
        <v>0</v>
      </c>
      <c r="Q15" s="3">
        <f t="shared" si="3"/>
        <v>0</v>
      </c>
      <c r="S15" s="74" t="e">
        <f>IF(AND('Исходные данные'!#REF!=3,'Исходные данные'!K21=1),IF('Исходные данные'!J21&lt;450,100,IF('Исходные данные'!J21&gt;=450,135,0)),0)</f>
        <v>#REF!</v>
      </c>
      <c r="T15" s="74" t="e">
        <f>IF(AND('Исходные данные'!#REF!=3,'Исходные данные'!K21=2),IF('Исходные данные'!J21&lt;450,100,IF('Исходные данные'!J21&gt;=450,135,0)),0)</f>
        <v>#REF!</v>
      </c>
      <c r="U15" s="74" t="e">
        <f>IF(AND('Исходные данные'!#REF!=1,'Исходные данные'!K21=1),IF(AND('Исходные данные'!J21&gt;250,'Исходные данные'!J21&lt;450),30,IF('Исходные данные'!J21&gt;=450,130,0)),0)</f>
        <v>#REF!</v>
      </c>
      <c r="V15" s="74" t="e">
        <f>IF(AND('Исходные данные'!#REF!=1,'Исходные данные'!K21=2),IF(AND('Исходные данные'!J21&gt;=240,'Исходные данные'!J21&lt;390),0,IF(AND('Исходные данные'!J21&gt;=390,'Исходные данные'!J21&lt;430),80,IF('Исходные данные'!J21&gt;=430,120,0))),0)</f>
        <v>#REF!</v>
      </c>
    </row>
    <row r="16" spans="1:22" s="3" customFormat="1">
      <c r="A16" s="63">
        <f>'Исходные данные'!B22</f>
        <v>0</v>
      </c>
      <c r="B16" s="64" t="e">
        <f>IF('Исходные данные'!#REF!=3,"183.00.00.004-01",IF('Исходные данные'!#REF!=1,"0148.10.005-01",0))</f>
        <v>#REF!</v>
      </c>
      <c r="C16" s="8"/>
      <c r="D16" s="76" t="e">
        <f>IF(AND('Исходные данные'!#REF!=3,'Исходные данные'!K22=1),I16-40,IF(AND('Исходные данные'!#REF!=3,'Исходные данные'!K22=2),I16-40,IF(AND('Исходные данные'!#REF!=1,'Исходные данные'!K22=1),I16-24,IF(AND('Исходные данные'!#REF!=1,'Исходные данные'!K22=2),I16,0))))</f>
        <v>#REF!</v>
      </c>
      <c r="E16" s="64" t="e">
        <f>IF('Исходные данные'!#REF!=3,33,IF('Исходные данные'!#REF!=1,34,0))</f>
        <v>#REF!</v>
      </c>
      <c r="F16" s="64">
        <v>0.7</v>
      </c>
      <c r="G16" s="64">
        <f>'Исходные данные'!U22*2</f>
        <v>0</v>
      </c>
      <c r="H16" s="8"/>
      <c r="I16" s="170" t="e">
        <f>IF(AND('Исходные данные'!#REF!=3,'Исходные данные'!K22=1),IF('Исходные данные'!J22&lt;450,100,IF('Исходные данные'!J22&gt;=450,135,0)),IF(AND('Исходные данные'!#REF!=3,'Исходные данные'!K22=2),IF('Исходные данные'!J22&lt;450,100,IF('Исходные данные'!J22&gt;=450,135,0)),IF(AND('Исходные данные'!#REF!=1,'Исходные данные'!K22=1),IF(AND('Исходные данные'!J22&gt;250,'Исходные данные'!J22&lt;450),30,IF('Исходные данные'!J22&gt;=450,130,0)),IF(AND('Исходные данные'!#REF!=1,'Исходные данные'!K22=2),IF(AND('Исходные данные'!J22&gt;=240,'Исходные данные'!J22&lt;390),0,IF(AND('Исходные данные'!J22&gt;=390,'Исходные данные'!J22&lt;430),80,IF('Исходные данные'!J22&gt;=430,120,0))),0))))</f>
        <v>#REF!</v>
      </c>
      <c r="J16" s="83"/>
      <c r="K16" s="83"/>
      <c r="L16" s="83"/>
      <c r="M16" s="83"/>
      <c r="N16" s="3" t="e">
        <f t="shared" si="0"/>
        <v>#REF!</v>
      </c>
      <c r="O16" s="3">
        <f t="shared" si="1"/>
        <v>0</v>
      </c>
      <c r="P16" s="3" t="e">
        <f t="shared" si="2"/>
        <v>#REF!</v>
      </c>
      <c r="Q16" s="3">
        <f t="shared" si="3"/>
        <v>0</v>
      </c>
      <c r="S16" s="74" t="e">
        <f>IF(AND('Исходные данные'!#REF!=3,'Исходные данные'!K22=1),IF('Исходные данные'!J22&lt;450,100,IF('Исходные данные'!J22&gt;=450,135,0)),0)</f>
        <v>#REF!</v>
      </c>
      <c r="T16" s="74" t="e">
        <f>IF(AND('Исходные данные'!#REF!=3,'Исходные данные'!K22=2),IF('Исходные данные'!J22&lt;450,100,IF('Исходные данные'!J22&gt;=450,135,0)),0)</f>
        <v>#REF!</v>
      </c>
      <c r="U16" s="74" t="e">
        <f>IF(AND('Исходные данные'!#REF!=1,'Исходные данные'!K22=1),IF(AND('Исходные данные'!J22&gt;250,'Исходные данные'!J22&lt;450),30,IF('Исходные данные'!J22&gt;=450,130,0)),0)</f>
        <v>#REF!</v>
      </c>
      <c r="V16" s="74" t="e">
        <f>IF(AND('Исходные данные'!#REF!=1,'Исходные данные'!K22=2),IF(AND('Исходные данные'!J22&gt;=240,'Исходные данные'!J22&lt;390),0,IF(AND('Исходные данные'!J22&gt;=390,'Исходные данные'!J22&lt;430),80,IF('Исходные данные'!J22&gt;=430,120,0))),0)</f>
        <v>#REF!</v>
      </c>
    </row>
    <row r="17" spans="1:22" s="3" customFormat="1">
      <c r="A17" s="63">
        <f>'Исходные данные'!B23</f>
        <v>0</v>
      </c>
      <c r="B17" s="64" t="e">
        <f>IF('Исходные данные'!#REF!=3,"183.00.00.004-01",IF('Исходные данные'!#REF!=1,"0148.10.005-01",0))</f>
        <v>#REF!</v>
      </c>
      <c r="C17" s="8"/>
      <c r="D17" s="76" t="e">
        <f>IF(AND('Исходные данные'!#REF!=3,'Исходные данные'!K23=1),I17-40,IF(AND('Исходные данные'!#REF!=3,'Исходные данные'!K23=2),I17-40,IF(AND('Исходные данные'!#REF!=1,'Исходные данные'!K23=1),I17-24,IF(AND('Исходные данные'!#REF!=1,'Исходные данные'!K23=2),I17,0))))</f>
        <v>#REF!</v>
      </c>
      <c r="E17" s="64" t="e">
        <f>IF('Исходные данные'!#REF!=3,33,IF('Исходные данные'!#REF!=1,34,0))</f>
        <v>#REF!</v>
      </c>
      <c r="F17" s="64">
        <v>0.7</v>
      </c>
      <c r="G17" s="64">
        <f>'Исходные данные'!U23*2</f>
        <v>0</v>
      </c>
      <c r="H17" s="8"/>
      <c r="I17" s="170" t="e">
        <f>IF(AND('Исходные данные'!#REF!=3,'Исходные данные'!K23=1),IF('Исходные данные'!J23&lt;450,100,IF('Исходные данные'!J23&gt;=450,135,0)),IF(AND('Исходные данные'!#REF!=3,'Исходные данные'!K23=2),IF('Исходные данные'!J23&lt;450,100,IF('Исходные данные'!J23&gt;=450,135,0)),IF(AND('Исходные данные'!#REF!=1,'Исходные данные'!K23=1),IF(AND('Исходные данные'!J23&gt;250,'Исходные данные'!J23&lt;450),30,IF('Исходные данные'!J23&gt;=450,130,0)),IF(AND('Исходные данные'!#REF!=1,'Исходные данные'!K23=2),IF(AND('Исходные данные'!J23&gt;=240,'Исходные данные'!J23&lt;390),0,IF(AND('Исходные данные'!J23&gt;=390,'Исходные данные'!J23&lt;430),80,IF('Исходные данные'!J23&gt;=430,120,0))),0))))</f>
        <v>#REF!</v>
      </c>
      <c r="J17" s="83"/>
      <c r="K17" s="83"/>
      <c r="L17" s="83"/>
      <c r="M17" s="83"/>
      <c r="N17" s="3" t="e">
        <f t="shared" si="0"/>
        <v>#REF!</v>
      </c>
      <c r="O17" s="3">
        <f t="shared" si="1"/>
        <v>0</v>
      </c>
      <c r="P17" s="3" t="e">
        <f t="shared" si="2"/>
        <v>#REF!</v>
      </c>
      <c r="Q17" s="3">
        <f t="shared" si="3"/>
        <v>0</v>
      </c>
      <c r="S17" s="74" t="e">
        <f>IF(AND('Исходные данные'!#REF!=3,'Исходные данные'!K23=1),IF('Исходные данные'!J23&lt;450,100,IF('Исходные данные'!J23&gt;=450,135,0)),0)</f>
        <v>#REF!</v>
      </c>
      <c r="T17" s="74" t="e">
        <f>IF(AND('Исходные данные'!#REF!=3,'Исходные данные'!K23=2),IF('Исходные данные'!J23&lt;450,100,IF('Исходные данные'!J23&gt;=450,135,0)),0)</f>
        <v>#REF!</v>
      </c>
      <c r="U17" s="74" t="e">
        <f>IF(AND('Исходные данные'!#REF!=1,'Исходные данные'!K23=1),IF(AND('Исходные данные'!J23&gt;250,'Исходные данные'!J23&lt;450),30,IF('Исходные данные'!J23&gt;=450,130,0)),0)</f>
        <v>#REF!</v>
      </c>
      <c r="V17" s="74" t="e">
        <f>IF(AND('Исходные данные'!#REF!=1,'Исходные данные'!K23=2),IF(AND('Исходные данные'!J23&gt;=240,'Исходные данные'!J23&lt;390),0,IF(AND('Исходные данные'!J23&gt;=390,'Исходные данные'!J23&lt;430),80,IF('Исходные данные'!J23&gt;=430,120,0))),0)</f>
        <v>#REF!</v>
      </c>
    </row>
    <row r="18" spans="1:22" s="3" customFormat="1">
      <c r="A18" s="63">
        <f>'Исходные данные'!B24</f>
        <v>0</v>
      </c>
      <c r="B18" s="64" t="e">
        <f>IF('Исходные данные'!#REF!=3,"183.00.00.004-01",IF('Исходные данные'!#REF!=1,"0148.10.005-01",0))</f>
        <v>#REF!</v>
      </c>
      <c r="C18" s="8"/>
      <c r="D18" s="76" t="e">
        <f>IF(AND('Исходные данные'!#REF!=3,'Исходные данные'!K24=1),I18-40,IF(AND('Исходные данные'!#REF!=3,'Исходные данные'!K24=2),I18-40,IF(AND('Исходные данные'!#REF!=1,'Исходные данные'!K24=1),I18-24,IF(AND('Исходные данные'!#REF!=1,'Исходные данные'!K24=2),I18,0))))</f>
        <v>#REF!</v>
      </c>
      <c r="E18" s="64" t="e">
        <f>IF('Исходные данные'!#REF!=3,33,IF('Исходные данные'!#REF!=1,34,0))</f>
        <v>#REF!</v>
      </c>
      <c r="F18" s="64">
        <v>0.7</v>
      </c>
      <c r="G18" s="64">
        <f>'Исходные данные'!U24*2</f>
        <v>0</v>
      </c>
      <c r="H18" s="8"/>
      <c r="I18" s="170" t="e">
        <f>IF(AND('Исходные данные'!#REF!=3,'Исходные данные'!K24=1),IF('Исходные данные'!J24&lt;450,100,IF('Исходные данные'!J24&gt;=450,135,0)),IF(AND('Исходные данные'!#REF!=3,'Исходные данные'!K24=2),IF('Исходные данные'!J24&lt;450,100,IF('Исходные данные'!J24&gt;=450,135,0)),IF(AND('Исходные данные'!#REF!=1,'Исходные данные'!K24=1),IF(AND('Исходные данные'!J24&gt;250,'Исходные данные'!J24&lt;450),30,IF('Исходные данные'!J24&gt;=450,130,0)),IF(AND('Исходные данные'!#REF!=1,'Исходные данные'!K24=2),IF(AND('Исходные данные'!J24&gt;=240,'Исходные данные'!J24&lt;390),0,IF(AND('Исходные данные'!J24&gt;=390,'Исходные данные'!J24&lt;430),80,IF('Исходные данные'!J24&gt;=430,120,0))),0))))</f>
        <v>#REF!</v>
      </c>
      <c r="J18" s="83"/>
      <c r="K18" s="83"/>
      <c r="L18" s="83"/>
      <c r="M18" s="83"/>
      <c r="N18" s="3" t="e">
        <f t="shared" si="0"/>
        <v>#REF!</v>
      </c>
      <c r="O18" s="3">
        <f t="shared" si="1"/>
        <v>0</v>
      </c>
      <c r="P18" s="3" t="e">
        <f t="shared" si="2"/>
        <v>#REF!</v>
      </c>
      <c r="Q18" s="3">
        <f t="shared" si="3"/>
        <v>0</v>
      </c>
      <c r="S18" s="74" t="e">
        <f>IF(AND('Исходные данные'!#REF!=3,'Исходные данные'!K24=1),IF('Исходные данные'!J24&lt;450,100,IF('Исходные данные'!J24&gt;=450,135,0)),0)</f>
        <v>#REF!</v>
      </c>
      <c r="T18" s="74" t="e">
        <f>IF(AND('Исходные данные'!#REF!=3,'Исходные данные'!K24=2),IF('Исходные данные'!J24&lt;450,100,IF('Исходные данные'!J24&gt;=450,135,0)),0)</f>
        <v>#REF!</v>
      </c>
      <c r="U18" s="74" t="e">
        <f>IF(AND('Исходные данные'!#REF!=1,'Исходные данные'!K24=1),IF(AND('Исходные данные'!J24&gt;250,'Исходные данные'!J24&lt;450),30,IF('Исходные данные'!J24&gt;=450,130,0)),0)</f>
        <v>#REF!</v>
      </c>
      <c r="V18" s="74" t="e">
        <f>IF(AND('Исходные данные'!#REF!=1,'Исходные данные'!K24=2),IF(AND('Исходные данные'!J24&gt;=240,'Исходные данные'!J24&lt;390),0,IF(AND('Исходные данные'!J24&gt;=390,'Исходные данные'!J24&lt;430),80,IF('Исходные данные'!J24&gt;=430,120,0))),0)</f>
        <v>#REF!</v>
      </c>
    </row>
    <row r="19" spans="1:22" s="3" customFormat="1">
      <c r="A19" s="63">
        <f>'Исходные данные'!B25</f>
        <v>0</v>
      </c>
      <c r="B19" s="64" t="e">
        <f>IF('Исходные данные'!#REF!=3,"183.00.00.004-01",IF('Исходные данные'!#REF!=1,"0148.10.005-01",0))</f>
        <v>#REF!</v>
      </c>
      <c r="C19" s="8"/>
      <c r="D19" s="76" t="e">
        <f>IF(AND('Исходные данные'!#REF!=3,'Исходные данные'!K25=1),I19-40,IF(AND('Исходные данные'!#REF!=3,'Исходные данные'!K25=2),I19-40,IF(AND('Исходные данные'!#REF!=1,'Исходные данные'!K25=1),I19-24,IF(AND('Исходные данные'!#REF!=1,'Исходные данные'!K25=2),I19,0))))</f>
        <v>#REF!</v>
      </c>
      <c r="E19" s="64" t="e">
        <f>IF('Исходные данные'!#REF!=3,33,IF('Исходные данные'!#REF!=1,34,0))</f>
        <v>#REF!</v>
      </c>
      <c r="F19" s="64">
        <v>0.7</v>
      </c>
      <c r="G19" s="64">
        <f>'Исходные данные'!U25*2</f>
        <v>0</v>
      </c>
      <c r="H19" s="8"/>
      <c r="I19" s="170" t="e">
        <f>IF(AND('Исходные данные'!#REF!=3,'Исходные данные'!K25=1),IF('Исходные данные'!J25&lt;450,100,IF('Исходные данные'!J25&gt;=450,135,0)),IF(AND('Исходные данные'!#REF!=3,'Исходные данные'!K25=2),IF('Исходные данные'!J25&lt;450,100,IF('Исходные данные'!J25&gt;=450,135,0)),IF(AND('Исходные данные'!#REF!=1,'Исходные данные'!K25=1),IF(AND('Исходные данные'!J25&gt;250,'Исходные данные'!J25&lt;450),30,IF('Исходные данные'!J25&gt;=450,130,0)),IF(AND('Исходные данные'!#REF!=1,'Исходные данные'!K25=2),IF(AND('Исходные данные'!J25&gt;=240,'Исходные данные'!J25&lt;390),0,IF(AND('Исходные данные'!J25&gt;=390,'Исходные данные'!J25&lt;430),80,IF('Исходные данные'!J25&gt;=430,120,0))),0))))</f>
        <v>#REF!</v>
      </c>
      <c r="J19" s="83"/>
      <c r="K19" s="83"/>
      <c r="L19" s="83"/>
      <c r="M19" s="83"/>
      <c r="N19" s="3" t="e">
        <f t="shared" si="0"/>
        <v>#REF!</v>
      </c>
      <c r="O19" s="3">
        <f t="shared" si="1"/>
        <v>0</v>
      </c>
      <c r="P19" s="3" t="e">
        <f t="shared" si="2"/>
        <v>#REF!</v>
      </c>
      <c r="Q19" s="3">
        <f t="shared" si="3"/>
        <v>0</v>
      </c>
      <c r="S19" s="74" t="e">
        <f>IF(AND('Исходные данные'!#REF!=3,'Исходные данные'!K25=1),IF('Исходные данные'!J25&lt;450,100,IF('Исходные данные'!J25&gt;=450,135,0)),0)</f>
        <v>#REF!</v>
      </c>
      <c r="T19" s="74" t="e">
        <f>IF(AND('Исходные данные'!#REF!=3,'Исходные данные'!K25=2),IF('Исходные данные'!J25&lt;450,100,IF('Исходные данные'!J25&gt;=450,135,0)),0)</f>
        <v>#REF!</v>
      </c>
      <c r="U19" s="74" t="e">
        <f>IF(AND('Исходные данные'!#REF!=1,'Исходные данные'!K25=1),IF(AND('Исходные данные'!J25&gt;250,'Исходные данные'!J25&lt;450),30,IF('Исходные данные'!J25&gt;=450,130,0)),0)</f>
        <v>#REF!</v>
      </c>
      <c r="V19" s="74" t="e">
        <f>IF(AND('Исходные данные'!#REF!=1,'Исходные данные'!K25=2),IF(AND('Исходные данные'!J25&gt;=240,'Исходные данные'!J25&lt;390),0,IF(AND('Исходные данные'!J25&gt;=390,'Исходные данные'!J25&lt;430),80,IF('Исходные данные'!J25&gt;=430,120,0))),0)</f>
        <v>#REF!</v>
      </c>
    </row>
    <row r="20" spans="1:22" s="3" customFormat="1">
      <c r="A20" s="63">
        <f>'Исходные данные'!B26</f>
        <v>0</v>
      </c>
      <c r="B20" s="64" t="e">
        <f>IF('Исходные данные'!#REF!=3,"183.00.00.004-01",IF('Исходные данные'!#REF!=1,"0148.10.005-01",0))</f>
        <v>#REF!</v>
      </c>
      <c r="C20" s="8"/>
      <c r="D20" s="76" t="e">
        <f>IF(AND('Исходные данные'!#REF!=3,'Исходные данные'!K26=1),I20-40,IF(AND('Исходные данные'!#REF!=3,'Исходные данные'!K26=2),I20-40,IF(AND('Исходные данные'!#REF!=1,'Исходные данные'!K26=1),I20-24,IF(AND('Исходные данные'!#REF!=1,'Исходные данные'!K26=2),I20,0))))</f>
        <v>#REF!</v>
      </c>
      <c r="E20" s="64" t="e">
        <f>IF('Исходные данные'!#REF!=3,33,IF('Исходные данные'!#REF!=1,34,0))</f>
        <v>#REF!</v>
      </c>
      <c r="F20" s="64">
        <v>0.7</v>
      </c>
      <c r="G20" s="64">
        <f>'Исходные данные'!U26*2</f>
        <v>0</v>
      </c>
      <c r="H20" s="8"/>
      <c r="I20" s="170" t="e">
        <f>IF(AND('Исходные данные'!#REF!=3,'Исходные данные'!K26=1),IF('Исходные данные'!J26&lt;450,100,IF('Исходные данные'!J26&gt;=450,135,0)),IF(AND('Исходные данные'!#REF!=3,'Исходные данные'!K26=2),IF('Исходные данные'!J26&lt;450,100,IF('Исходные данные'!J26&gt;=450,135,0)),IF(AND('Исходные данные'!#REF!=1,'Исходные данные'!K26=1),IF(AND('Исходные данные'!J26&gt;250,'Исходные данные'!J26&lt;450),30,IF('Исходные данные'!J26&gt;=450,130,0)),IF(AND('Исходные данные'!#REF!=1,'Исходные данные'!K26=2),IF(AND('Исходные данные'!J26&gt;=240,'Исходные данные'!J26&lt;390),0,IF(AND('Исходные данные'!J26&gt;=390,'Исходные данные'!J26&lt;430),80,IF('Исходные данные'!J26&gt;=430,120,0))),0))))</f>
        <v>#REF!</v>
      </c>
      <c r="J20" s="83"/>
      <c r="K20" s="83"/>
      <c r="L20" s="83"/>
      <c r="M20" s="83"/>
      <c r="N20" s="3" t="e">
        <f t="shared" si="0"/>
        <v>#REF!</v>
      </c>
      <c r="O20" s="3">
        <f t="shared" si="1"/>
        <v>0</v>
      </c>
      <c r="P20" s="3" t="e">
        <f t="shared" si="2"/>
        <v>#REF!</v>
      </c>
      <c r="Q20" s="3">
        <f t="shared" si="3"/>
        <v>0</v>
      </c>
      <c r="S20" s="74" t="e">
        <f>IF(AND('Исходные данные'!#REF!=3,'Исходные данные'!K26=1),IF('Исходные данные'!J26&lt;450,100,IF('Исходные данные'!J26&gt;=450,135,0)),0)</f>
        <v>#REF!</v>
      </c>
      <c r="T20" s="74" t="e">
        <f>IF(AND('Исходные данные'!#REF!=3,'Исходные данные'!K26=2),IF('Исходные данные'!J26&lt;450,100,IF('Исходные данные'!J26&gt;=450,135,0)),0)</f>
        <v>#REF!</v>
      </c>
      <c r="U20" s="74" t="e">
        <f>IF(AND('Исходные данные'!#REF!=1,'Исходные данные'!K26=1),IF(AND('Исходные данные'!J26&gt;250,'Исходные данные'!J26&lt;450),30,IF('Исходные данные'!J26&gt;=450,130,0)),0)</f>
        <v>#REF!</v>
      </c>
      <c r="V20" s="74" t="e">
        <f>IF(AND('Исходные данные'!#REF!=1,'Исходные данные'!K26=2),IF(AND('Исходные данные'!J26&gt;=240,'Исходные данные'!J26&lt;390),0,IF(AND('Исходные данные'!J26&gt;=390,'Исходные данные'!J26&lt;430),80,IF('Исходные данные'!J26&gt;=430,120,0))),0)</f>
        <v>#REF!</v>
      </c>
    </row>
    <row r="21" spans="1:22" s="3" customFormat="1">
      <c r="A21" s="63">
        <f>'Исходные данные'!B27</f>
        <v>0</v>
      </c>
      <c r="B21" s="64" t="e">
        <f>IF('Исходные данные'!#REF!=3,"183.00.00.004-01",IF('Исходные данные'!#REF!=1,"0148.10.005-01",0))</f>
        <v>#REF!</v>
      </c>
      <c r="C21" s="8"/>
      <c r="D21" s="76" t="e">
        <f>IF(AND('Исходные данные'!#REF!=3,'Исходные данные'!K27=1),I21-40,IF(AND('Исходные данные'!#REF!=3,'Исходные данные'!K27=2),I21-40,IF(AND('Исходные данные'!#REF!=1,'Исходные данные'!K27=1),I21-24,IF(AND('Исходные данные'!#REF!=1,'Исходные данные'!K27=2),I21,0))))</f>
        <v>#REF!</v>
      </c>
      <c r="E21" s="64" t="e">
        <f>IF('Исходные данные'!#REF!=3,33,IF('Исходные данные'!#REF!=1,34,0))</f>
        <v>#REF!</v>
      </c>
      <c r="F21" s="64">
        <v>0.7</v>
      </c>
      <c r="G21" s="64">
        <f>'Исходные данные'!U27*2</f>
        <v>0</v>
      </c>
      <c r="H21" s="8"/>
      <c r="I21" s="170" t="e">
        <f>IF(AND('Исходные данные'!#REF!=3,'Исходные данные'!K27=1),IF('Исходные данные'!J27&lt;450,100,IF('Исходные данные'!J27&gt;=450,135,0)),IF(AND('Исходные данные'!#REF!=3,'Исходные данные'!K27=2),IF('Исходные данные'!J27&lt;450,100,IF('Исходные данные'!J27&gt;=450,135,0)),IF(AND('Исходные данные'!#REF!=1,'Исходные данные'!K27=1),IF(AND('Исходные данные'!J27&gt;250,'Исходные данные'!J27&lt;450),30,IF('Исходные данные'!J27&gt;=450,130,0)),IF(AND('Исходные данные'!#REF!=1,'Исходные данные'!K27=2),IF(AND('Исходные данные'!J27&gt;=240,'Исходные данные'!J27&lt;390),0,IF(AND('Исходные данные'!J27&gt;=390,'Исходные данные'!J27&lt;430),80,IF('Исходные данные'!J27&gt;=430,120,0))),0))))</f>
        <v>#REF!</v>
      </c>
      <c r="J21" s="83"/>
      <c r="K21" s="83"/>
      <c r="L21" s="83"/>
      <c r="M21" s="83"/>
      <c r="N21" s="3" t="e">
        <f t="shared" si="0"/>
        <v>#REF!</v>
      </c>
      <c r="O21" s="3">
        <f t="shared" si="1"/>
        <v>0</v>
      </c>
      <c r="P21" s="3" t="e">
        <f t="shared" si="2"/>
        <v>#REF!</v>
      </c>
      <c r="Q21" s="3">
        <f t="shared" si="3"/>
        <v>0</v>
      </c>
      <c r="S21" s="74" t="e">
        <f>IF(AND('Исходные данные'!#REF!=3,'Исходные данные'!K27=1),IF('Исходные данные'!J27&lt;450,100,IF('Исходные данные'!J27&gt;=450,135,0)),0)</f>
        <v>#REF!</v>
      </c>
      <c r="T21" s="74" t="e">
        <f>IF(AND('Исходные данные'!#REF!=3,'Исходные данные'!K27=2),IF('Исходные данные'!J27&lt;450,100,IF('Исходные данные'!J27&gt;=450,135,0)),0)</f>
        <v>#REF!</v>
      </c>
      <c r="U21" s="74" t="e">
        <f>IF(AND('Исходные данные'!#REF!=1,'Исходные данные'!K27=1),IF(AND('Исходные данные'!J27&gt;250,'Исходные данные'!J27&lt;450),30,IF('Исходные данные'!J27&gt;=450,130,0)),0)</f>
        <v>#REF!</v>
      </c>
      <c r="V21" s="74" t="e">
        <f>IF(AND('Исходные данные'!#REF!=1,'Исходные данные'!K27=2),IF(AND('Исходные данные'!J27&gt;=240,'Исходные данные'!J27&lt;390),0,IF(AND('Исходные данные'!J27&gt;=390,'Исходные данные'!J27&lt;430),80,IF('Исходные данные'!J27&gt;=430,120,0))),0)</f>
        <v>#REF!</v>
      </c>
    </row>
    <row r="22" spans="1:22" s="3" customFormat="1">
      <c r="A22" s="63">
        <f>'Исходные данные'!B28</f>
        <v>0</v>
      </c>
      <c r="B22" s="64" t="e">
        <f>IF('Исходные данные'!#REF!=3,"183.00.00.004-01",IF('Исходные данные'!#REF!=1,"0148.10.005-01",0))</f>
        <v>#REF!</v>
      </c>
      <c r="C22" s="8"/>
      <c r="D22" s="76" t="e">
        <f>IF(AND('Исходные данные'!#REF!=3,'Исходные данные'!K28=1),I22-40,IF(AND('Исходные данные'!#REF!=3,'Исходные данные'!K28=2),I22-40,IF(AND('Исходные данные'!#REF!=1,'Исходные данные'!K28=1),I22-24,IF(AND('Исходные данные'!#REF!=1,'Исходные данные'!K28=2),I22,0))))</f>
        <v>#REF!</v>
      </c>
      <c r="E22" s="64" t="e">
        <f>IF('Исходные данные'!#REF!=3,33,IF('Исходные данные'!#REF!=1,34,0))</f>
        <v>#REF!</v>
      </c>
      <c r="F22" s="64">
        <v>0.7</v>
      </c>
      <c r="G22" s="64">
        <f>'Исходные данные'!U28*2</f>
        <v>0</v>
      </c>
      <c r="H22" s="8"/>
      <c r="I22" s="170" t="e">
        <f>IF(AND('Исходные данные'!#REF!=3,'Исходные данные'!K28=1),IF('Исходные данные'!J28&lt;450,100,IF('Исходные данные'!J28&gt;=450,135,0)),IF(AND('Исходные данные'!#REF!=3,'Исходные данные'!K28=2),IF('Исходные данные'!J28&lt;450,100,IF('Исходные данные'!J28&gt;=450,135,0)),IF(AND('Исходные данные'!#REF!=1,'Исходные данные'!K28=1),IF(AND('Исходные данные'!J28&gt;250,'Исходные данные'!J28&lt;450),30,IF('Исходные данные'!J28&gt;=450,130,0)),IF(AND('Исходные данные'!#REF!=1,'Исходные данные'!K28=2),IF(AND('Исходные данные'!J28&gt;=240,'Исходные данные'!J28&lt;390),0,IF(AND('Исходные данные'!J28&gt;=390,'Исходные данные'!J28&lt;430),80,IF('Исходные данные'!J28&gt;=430,120,0))),0))))</f>
        <v>#REF!</v>
      </c>
      <c r="J22" s="83"/>
      <c r="K22" s="83"/>
      <c r="L22" s="83"/>
      <c r="M22" s="83"/>
      <c r="N22" s="3" t="e">
        <f t="shared" si="0"/>
        <v>#REF!</v>
      </c>
      <c r="O22" s="3">
        <f t="shared" si="1"/>
        <v>0</v>
      </c>
      <c r="P22" s="3" t="e">
        <f t="shared" si="2"/>
        <v>#REF!</v>
      </c>
      <c r="Q22" s="3">
        <f t="shared" si="3"/>
        <v>0</v>
      </c>
      <c r="S22" s="74" t="e">
        <f>IF(AND('Исходные данные'!#REF!=3,'Исходные данные'!K28=1),IF('Исходные данные'!J28&lt;450,100,IF('Исходные данные'!J28&gt;=450,135,0)),0)</f>
        <v>#REF!</v>
      </c>
      <c r="T22" s="74" t="e">
        <f>IF(AND('Исходные данные'!#REF!=3,'Исходные данные'!K28=2),IF('Исходные данные'!J28&lt;450,100,IF('Исходные данные'!J28&gt;=450,135,0)),0)</f>
        <v>#REF!</v>
      </c>
      <c r="U22" s="74" t="e">
        <f>IF(AND('Исходные данные'!#REF!=1,'Исходные данные'!K28=1),IF(AND('Исходные данные'!J28&gt;250,'Исходные данные'!J28&lt;450),30,IF('Исходные данные'!J28&gt;=450,130,0)),0)</f>
        <v>#REF!</v>
      </c>
      <c r="V22" s="74" t="e">
        <f>IF(AND('Исходные данные'!#REF!=1,'Исходные данные'!K28=2),IF(AND('Исходные данные'!J28&gt;=240,'Исходные данные'!J28&lt;390),0,IF(AND('Исходные данные'!J28&gt;=390,'Исходные данные'!J28&lt;430),80,IF('Исходные данные'!J28&gt;=430,120,0))),0)</f>
        <v>#REF!</v>
      </c>
    </row>
    <row r="23" spans="1:22" s="3" customFormat="1">
      <c r="A23" s="63">
        <f>'Исходные данные'!B29</f>
        <v>0</v>
      </c>
      <c r="B23" s="64" t="e">
        <f>IF('Исходные данные'!#REF!=3,"183.00.00.004-01",IF('Исходные данные'!#REF!=1,"0148.10.005-01",0))</f>
        <v>#REF!</v>
      </c>
      <c r="C23" s="8"/>
      <c r="D23" s="76" t="e">
        <f>IF(AND('Исходные данные'!#REF!=3,'Исходные данные'!K29=1),I23-40,IF(AND('Исходные данные'!#REF!=3,'Исходные данные'!K29=2),I23-40,IF(AND('Исходные данные'!#REF!=1,'Исходные данные'!K29=1),I23-24,IF(AND('Исходные данные'!#REF!=1,'Исходные данные'!K29=2),I23,0))))</f>
        <v>#REF!</v>
      </c>
      <c r="E23" s="64" t="e">
        <f>IF('Исходные данные'!#REF!=3,33,IF('Исходные данные'!#REF!=1,34,0))</f>
        <v>#REF!</v>
      </c>
      <c r="F23" s="64">
        <v>0.7</v>
      </c>
      <c r="G23" s="64">
        <f>'Исходные данные'!U29*2</f>
        <v>0</v>
      </c>
      <c r="H23" s="8"/>
      <c r="I23" s="170" t="e">
        <f>IF(AND('Исходные данные'!#REF!=3,'Исходные данные'!K29=1),IF('Исходные данные'!J29&lt;450,100,IF('Исходные данные'!J29&gt;=450,135,0)),IF(AND('Исходные данные'!#REF!=3,'Исходные данные'!K29=2),IF('Исходные данные'!J29&lt;450,100,IF('Исходные данные'!J29&gt;=450,135,0)),IF(AND('Исходные данные'!#REF!=1,'Исходные данные'!K29=1),IF(AND('Исходные данные'!J29&gt;250,'Исходные данные'!J29&lt;450),30,IF('Исходные данные'!J29&gt;=450,130,0)),IF(AND('Исходные данные'!#REF!=1,'Исходные данные'!K29=2),IF(AND('Исходные данные'!J29&gt;=240,'Исходные данные'!J29&lt;390),0,IF(AND('Исходные данные'!J29&gt;=390,'Исходные данные'!J29&lt;430),80,IF('Исходные данные'!J29&gt;=430,120,0))),0))))</f>
        <v>#REF!</v>
      </c>
      <c r="J23" s="83"/>
      <c r="K23" s="83"/>
      <c r="L23" s="83"/>
      <c r="M23" s="83"/>
      <c r="N23" s="3" t="e">
        <f t="shared" si="0"/>
        <v>#REF!</v>
      </c>
      <c r="O23" s="3">
        <f t="shared" si="1"/>
        <v>0</v>
      </c>
      <c r="P23" s="3" t="e">
        <f t="shared" si="2"/>
        <v>#REF!</v>
      </c>
      <c r="Q23" s="3">
        <f t="shared" si="3"/>
        <v>0</v>
      </c>
      <c r="S23" s="74" t="e">
        <f>IF(AND('Исходные данные'!#REF!=3,'Исходные данные'!K29=1),IF('Исходные данные'!J29&lt;450,100,IF('Исходные данные'!J29&gt;=450,135,0)),0)</f>
        <v>#REF!</v>
      </c>
      <c r="T23" s="74" t="e">
        <f>IF(AND('Исходные данные'!#REF!=3,'Исходные данные'!K29=2),IF('Исходные данные'!J29&lt;450,100,IF('Исходные данные'!J29&gt;=450,135,0)),0)</f>
        <v>#REF!</v>
      </c>
      <c r="U23" s="74" t="e">
        <f>IF(AND('Исходные данные'!#REF!=1,'Исходные данные'!K29=1),IF(AND('Исходные данные'!J29&gt;250,'Исходные данные'!J29&lt;450),30,IF('Исходные данные'!J29&gt;=450,130,0)),0)</f>
        <v>#REF!</v>
      </c>
      <c r="V23" s="74" t="e">
        <f>IF(AND('Исходные данные'!#REF!=1,'Исходные данные'!K29=2),IF(AND('Исходные данные'!J29&gt;=240,'Исходные данные'!J29&lt;390),0,IF(AND('Исходные данные'!J29&gt;=390,'Исходные данные'!J29&lt;430),80,IF('Исходные данные'!J29&gt;=430,120,0))),0)</f>
        <v>#REF!</v>
      </c>
    </row>
    <row r="24" spans="1:22" s="3" customFormat="1">
      <c r="A24" s="63">
        <f>'Исходные данные'!B30</f>
        <v>0</v>
      </c>
      <c r="B24" s="64" t="e">
        <f>IF('Исходные данные'!#REF!=3,"183.00.00.004-01",IF('Исходные данные'!#REF!=1,"0148.10.005-01",0))</f>
        <v>#REF!</v>
      </c>
      <c r="C24" s="8"/>
      <c r="D24" s="76" t="e">
        <f>IF(AND('Исходные данные'!#REF!=3,'Исходные данные'!K30=1),I24-40,IF(AND('Исходные данные'!#REF!=3,'Исходные данные'!K30=2),I24-40,IF(AND('Исходные данные'!#REF!=1,'Исходные данные'!K30=1),I24-24,IF(AND('Исходные данные'!#REF!=1,'Исходные данные'!K30=2),I24,0))))</f>
        <v>#REF!</v>
      </c>
      <c r="E24" s="64" t="e">
        <f>IF('Исходные данные'!#REF!=3,33,IF('Исходные данные'!#REF!=1,34,0))</f>
        <v>#REF!</v>
      </c>
      <c r="F24" s="8"/>
      <c r="G24" s="64">
        <f>'Исходные данные'!U30*2</f>
        <v>0</v>
      </c>
      <c r="H24" s="8"/>
      <c r="I24" s="170" t="e">
        <f>IF(AND('Исходные данные'!#REF!=3,'Исходные данные'!K30=1),IF('Исходные данные'!J30&lt;450,100,IF('Исходные данные'!J30&gt;=450,135,0)),IF(AND('Исходные данные'!#REF!=3,'Исходные данные'!K30=2),IF('Исходные данные'!J30&lt;450,100,IF('Исходные данные'!J30&gt;=450,135,0)),IF(AND('Исходные данные'!#REF!=1,'Исходные данные'!K30=1),IF(AND('Исходные данные'!J30&gt;250,'Исходные данные'!J30&lt;450),30,IF('Исходные данные'!J30&gt;=450,130,0)),IF(AND('Исходные данные'!#REF!=1,'Исходные данные'!K30=2),IF(AND('Исходные данные'!J30&gt;=240,'Исходные данные'!J30&lt;390),0,IF(AND('Исходные данные'!J30&gt;=390,'Исходные данные'!J30&lt;430),80,IF('Исходные данные'!J30&gt;=430,120,0))),0))))</f>
        <v>#REF!</v>
      </c>
      <c r="J24" s="83"/>
      <c r="K24" s="83"/>
      <c r="L24" s="83"/>
      <c r="M24" s="83"/>
      <c r="N24" s="3" t="e">
        <f t="shared" si="0"/>
        <v>#REF!</v>
      </c>
      <c r="O24" s="3">
        <f t="shared" si="1"/>
        <v>0</v>
      </c>
      <c r="P24" s="3" t="e">
        <f t="shared" si="2"/>
        <v>#REF!</v>
      </c>
      <c r="Q24" s="3">
        <f t="shared" si="3"/>
        <v>0</v>
      </c>
      <c r="S24" s="74" t="e">
        <f>IF(AND('Исходные данные'!#REF!=3,'Исходные данные'!K30=1),IF('Исходные данные'!J30&lt;450,100,IF('Исходные данные'!J30&gt;=450,135,0)),0)</f>
        <v>#REF!</v>
      </c>
      <c r="T24" s="74" t="e">
        <f>IF(AND('Исходные данные'!#REF!=3,'Исходные данные'!K30=2),IF('Исходные данные'!J30&lt;450,100,IF('Исходные данные'!J30&gt;=450,135,0)),0)</f>
        <v>#REF!</v>
      </c>
      <c r="U24" s="74" t="e">
        <f>IF(AND('Исходные данные'!#REF!=1,'Исходные данные'!K30=1),IF(AND('Исходные данные'!J30&gt;250,'Исходные данные'!J30&lt;450),30,IF('Исходные данные'!J30&gt;=450,130,0)),0)</f>
        <v>#REF!</v>
      </c>
      <c r="V24" s="74" t="e">
        <f>IF(AND('Исходные данные'!#REF!=1,'Исходные данные'!K30=2),IF(AND('Исходные данные'!J30&gt;=240,'Исходные данные'!J30&lt;390),0,IF(AND('Исходные данные'!J30&gt;=390,'Исходные данные'!J30&lt;430),80,IF('Исходные данные'!J30&gt;=430,120,0))),0)</f>
        <v>#REF!</v>
      </c>
    </row>
    <row r="25" spans="1:22" s="3" customFormat="1">
      <c r="A25" s="30"/>
      <c r="J25" s="80"/>
      <c r="K25" s="80"/>
      <c r="L25" s="80"/>
      <c r="M25" s="80"/>
      <c r="P25" s="3" t="e">
        <f>SUM(P10:P24)</f>
        <v>#REF!</v>
      </c>
      <c r="Q25" s="3">
        <f>SUM(Q10:Q24)</f>
        <v>0</v>
      </c>
      <c r="S25" s="74"/>
      <c r="T25" s="74"/>
      <c r="U25" s="74"/>
      <c r="V25" s="74"/>
    </row>
    <row r="26" spans="1:22" s="3" customFormat="1">
      <c r="A26" s="30"/>
      <c r="J26" s="80"/>
      <c r="K26" s="80"/>
      <c r="L26" s="80"/>
      <c r="M26" s="80"/>
    </row>
    <row r="27" spans="1:22" s="3" customFormat="1" ht="30" customHeight="1">
      <c r="A27" s="30"/>
      <c r="B27" s="2" t="s">
        <v>40</v>
      </c>
      <c r="C27" s="2" t="s">
        <v>41</v>
      </c>
      <c r="D27" s="557" t="s">
        <v>42</v>
      </c>
      <c r="E27" s="557"/>
      <c r="F27" s="557"/>
      <c r="J27" s="80"/>
      <c r="K27" s="80"/>
      <c r="L27" s="80"/>
      <c r="M27" s="80"/>
    </row>
    <row r="28" spans="1:22" s="3" customFormat="1">
      <c r="A28" s="30"/>
      <c r="J28" s="80"/>
      <c r="K28" s="80"/>
      <c r="L28" s="80"/>
      <c r="M28" s="80"/>
    </row>
    <row r="29" spans="1:22" s="3" customFormat="1">
      <c r="A29" s="30"/>
      <c r="B29" s="2" t="s">
        <v>13</v>
      </c>
      <c r="C29" s="2" t="s">
        <v>41</v>
      </c>
      <c r="D29" s="549" t="s">
        <v>44</v>
      </c>
      <c r="E29" s="549"/>
      <c r="F29" s="549"/>
      <c r="H29" s="99">
        <v>0.51200000000000001</v>
      </c>
      <c r="J29" s="80"/>
      <c r="K29" s="80"/>
      <c r="L29" s="80"/>
      <c r="M29" s="80"/>
    </row>
    <row r="31" spans="1:22">
      <c r="A31" s="45"/>
      <c r="B31" s="45"/>
      <c r="C31" s="45"/>
      <c r="D31" s="45"/>
      <c r="E31" s="45"/>
      <c r="F31" s="45"/>
      <c r="G31" s="45"/>
      <c r="H31" s="45"/>
    </row>
    <row r="32" spans="1:22" ht="21">
      <c r="A32" s="46" t="s">
        <v>61</v>
      </c>
      <c r="B32" s="46"/>
      <c r="C32" s="46"/>
      <c r="D32" s="46"/>
      <c r="E32" s="46"/>
      <c r="F32" s="20"/>
      <c r="G32" s="20"/>
      <c r="H32" s="20"/>
    </row>
    <row r="33" spans="1:8">
      <c r="A33" s="20"/>
      <c r="B33" s="20"/>
      <c r="C33" s="20"/>
      <c r="D33" s="20"/>
      <c r="E33" s="20"/>
      <c r="F33" s="20"/>
      <c r="G33" s="20"/>
      <c r="H33" s="20"/>
    </row>
    <row r="34" spans="1:8" ht="18.75">
      <c r="A34" s="40" t="s">
        <v>70</v>
      </c>
      <c r="B34" s="40"/>
      <c r="C34" s="40"/>
      <c r="D34" s="40">
        <f>'Исходные данные'!J12</f>
        <v>4444</v>
      </c>
      <c r="E34" s="20"/>
      <c r="F34" s="40"/>
      <c r="G34" s="20"/>
      <c r="H34" s="20"/>
    </row>
    <row r="35" spans="1:8">
      <c r="A35" s="20" t="s">
        <v>75</v>
      </c>
      <c r="B35" s="20"/>
      <c r="C35" s="20"/>
      <c r="D35" s="20"/>
      <c r="E35" s="20"/>
      <c r="F35" s="20"/>
      <c r="G35" s="20"/>
      <c r="H35" s="20"/>
    </row>
    <row r="36" spans="1:8">
      <c r="A36" s="20" t="s">
        <v>62</v>
      </c>
      <c r="B36" s="20"/>
      <c r="C36" s="20"/>
      <c r="D36" s="20"/>
      <c r="E36" s="20"/>
      <c r="F36" s="20"/>
      <c r="G36" s="20"/>
      <c r="H36" s="20"/>
    </row>
    <row r="37" spans="1:8">
      <c r="A37" s="20"/>
      <c r="B37" s="20"/>
      <c r="C37" s="20"/>
      <c r="D37" s="20"/>
      <c r="E37" s="20"/>
      <c r="F37" s="20"/>
      <c r="G37" s="20"/>
      <c r="H37" s="20"/>
    </row>
    <row r="38" spans="1:8">
      <c r="A38" s="20" t="s">
        <v>40</v>
      </c>
      <c r="B38" s="20" t="s">
        <v>45</v>
      </c>
      <c r="C38" s="20"/>
      <c r="D38" s="20" t="s">
        <v>128</v>
      </c>
      <c r="E38" s="20"/>
      <c r="F38" s="20"/>
      <c r="G38" s="20"/>
      <c r="H38" s="20"/>
    </row>
    <row r="39" spans="1:8">
      <c r="A39" s="20"/>
      <c r="B39" s="20"/>
      <c r="C39" s="20"/>
      <c r="D39" s="20"/>
      <c r="E39" s="20"/>
      <c r="F39" s="20"/>
      <c r="G39" s="20"/>
      <c r="H39" s="20"/>
    </row>
    <row r="40" spans="1:8">
      <c r="A40" s="20" t="s">
        <v>63</v>
      </c>
      <c r="B40" s="20"/>
      <c r="C40" s="20"/>
      <c r="D40" s="20" t="s">
        <v>128</v>
      </c>
      <c r="E40" s="20"/>
      <c r="F40" s="20"/>
      <c r="G40" s="20"/>
      <c r="H40" s="20"/>
    </row>
    <row r="41" spans="1:8">
      <c r="A41" s="20"/>
      <c r="B41" s="20"/>
      <c r="C41" s="20"/>
      <c r="D41" s="20"/>
      <c r="E41" s="20"/>
      <c r="F41" s="20"/>
      <c r="G41" s="20"/>
      <c r="H41" s="20"/>
    </row>
    <row r="42" spans="1:8">
      <c r="A42" s="20"/>
      <c r="B42" s="20"/>
      <c r="C42" s="20"/>
      <c r="D42" s="20"/>
      <c r="E42" s="20"/>
      <c r="F42" s="20"/>
      <c r="G42" s="20"/>
      <c r="H42" s="20"/>
    </row>
    <row r="43" spans="1:8">
      <c r="A43" s="20" t="s">
        <v>64</v>
      </c>
      <c r="B43" s="20"/>
      <c r="C43" s="20"/>
      <c r="D43" s="20" t="s">
        <v>128</v>
      </c>
      <c r="E43" s="20"/>
      <c r="F43" s="20"/>
      <c r="G43" s="20"/>
      <c r="H43" s="20"/>
    </row>
    <row r="44" spans="1:8">
      <c r="A44" s="20"/>
      <c r="B44" s="20"/>
      <c r="C44" s="20"/>
      <c r="D44" s="20"/>
      <c r="E44" s="20"/>
      <c r="F44" s="20"/>
      <c r="G44" s="20"/>
      <c r="H44" s="20"/>
    </row>
  </sheetData>
  <mergeCells count="15">
    <mergeCell ref="S8:V8"/>
    <mergeCell ref="A8:A9"/>
    <mergeCell ref="D27:F27"/>
    <mergeCell ref="D29:F29"/>
    <mergeCell ref="H8:H9"/>
    <mergeCell ref="I8:I9"/>
    <mergeCell ref="B8:B9"/>
    <mergeCell ref="C8:C9"/>
    <mergeCell ref="E8:E9"/>
    <mergeCell ref="F8:F9"/>
    <mergeCell ref="G8:G9"/>
    <mergeCell ref="J8:J9"/>
    <mergeCell ref="K8:K9"/>
    <mergeCell ref="L8:L9"/>
    <mergeCell ref="M8:M9"/>
  </mergeCells>
  <pageMargins left="7.874015748031496E-2" right="7.874015748031496E-2" top="0.74803149606299213" bottom="0.74803149606299213" header="0.31496062992125984" footer="0.31496062992125984"/>
  <pageSetup paperSize="9" scale="7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Z45"/>
  <sheetViews>
    <sheetView workbookViewId="0">
      <selection activeCell="B14" sqref="B14"/>
    </sheetView>
  </sheetViews>
  <sheetFormatPr defaultRowHeight="15"/>
  <cols>
    <col min="2" max="2" width="19.5703125" customWidth="1"/>
    <col min="3" max="3" width="10.42578125" customWidth="1"/>
    <col min="4" max="4" width="7.42578125" customWidth="1"/>
    <col min="5" max="5" width="7.5703125" customWidth="1"/>
    <col min="6" max="6" width="10.5703125" customWidth="1"/>
    <col min="7" max="7" width="5.7109375" customWidth="1"/>
    <col min="8" max="8" width="8.28515625" customWidth="1"/>
    <col min="9" max="9" width="8.85546875" customWidth="1"/>
    <col min="10" max="10" width="5.7109375" customWidth="1"/>
    <col min="12" max="12" width="14.85546875" customWidth="1"/>
    <col min="13" max="13" width="13.140625" customWidth="1"/>
    <col min="14" max="14" width="15" customWidth="1"/>
    <col min="15" max="15" width="11.7109375" customWidth="1"/>
    <col min="20" max="20" width="9.140625" customWidth="1"/>
  </cols>
  <sheetData>
    <row r="4" spans="1:26" ht="21">
      <c r="B4" s="33" t="str">
        <f>'Исходные данные'!B12</f>
        <v>Сопроводительный лист</v>
      </c>
      <c r="E4" s="33">
        <f>'Исходные данные'!J12</f>
        <v>4444</v>
      </c>
    </row>
    <row r="7" spans="1:26" ht="23.25">
      <c r="C7" s="19" t="s">
        <v>136</v>
      </c>
    </row>
    <row r="9" spans="1:26" ht="31.5" customHeight="1">
      <c r="A9" s="538" t="s">
        <v>8</v>
      </c>
      <c r="B9" s="538" t="s">
        <v>14</v>
      </c>
      <c r="C9" s="538" t="s">
        <v>21</v>
      </c>
      <c r="D9" s="8" t="s">
        <v>19</v>
      </c>
      <c r="E9" s="538" t="s">
        <v>4</v>
      </c>
      <c r="F9" s="538" t="s">
        <v>5</v>
      </c>
      <c r="G9" s="538" t="s">
        <v>2</v>
      </c>
      <c r="H9" s="564"/>
      <c r="I9" s="565"/>
      <c r="J9" s="15"/>
      <c r="K9" s="8"/>
      <c r="L9" s="550" t="s">
        <v>122</v>
      </c>
      <c r="M9" s="550" t="s">
        <v>123</v>
      </c>
      <c r="N9" s="550" t="s">
        <v>124</v>
      </c>
      <c r="O9" s="550" t="s">
        <v>123</v>
      </c>
      <c r="P9" s="2" t="s">
        <v>10</v>
      </c>
      <c r="Q9" s="2" t="s">
        <v>11</v>
      </c>
      <c r="R9" s="2" t="s">
        <v>12</v>
      </c>
      <c r="S9" s="2" t="s">
        <v>13</v>
      </c>
      <c r="T9" s="9"/>
      <c r="U9" s="563" t="s">
        <v>88</v>
      </c>
      <c r="V9" s="563"/>
      <c r="W9" s="563"/>
      <c r="X9" s="563"/>
    </row>
    <row r="10" spans="1:26" ht="31.5" customHeight="1">
      <c r="A10" s="539"/>
      <c r="B10" s="539"/>
      <c r="C10" s="539"/>
      <c r="D10" s="8" t="s">
        <v>20</v>
      </c>
      <c r="E10" s="539"/>
      <c r="F10" s="539"/>
      <c r="G10" s="539"/>
      <c r="H10" s="8"/>
      <c r="I10" s="8"/>
      <c r="J10" s="16"/>
      <c r="K10" s="8"/>
      <c r="L10" s="551"/>
      <c r="M10" s="551"/>
      <c r="N10" s="551"/>
      <c r="O10" s="551"/>
      <c r="P10" s="2"/>
      <c r="Q10" s="2"/>
      <c r="R10" s="2"/>
      <c r="S10" s="2"/>
      <c r="T10" s="9"/>
      <c r="U10" s="69" t="s">
        <v>84</v>
      </c>
      <c r="V10" s="69" t="s">
        <v>85</v>
      </c>
      <c r="W10" s="69" t="s">
        <v>86</v>
      </c>
      <c r="X10" s="69" t="s">
        <v>87</v>
      </c>
      <c r="Y10" s="69"/>
    </row>
    <row r="11" spans="1:26" s="3" customFormat="1" ht="19.5" customHeight="1">
      <c r="A11" s="65">
        <f>'Исходные данные'!B16</f>
        <v>0</v>
      </c>
      <c r="B11" s="93" t="s">
        <v>142</v>
      </c>
      <c r="C11" s="14" t="s">
        <v>9</v>
      </c>
      <c r="D11" s="91">
        <v>102</v>
      </c>
      <c r="E11" s="93">
        <v>37.299999999999997</v>
      </c>
      <c r="F11" s="91">
        <v>1</v>
      </c>
      <c r="G11" s="8">
        <f>'Исходные данные'!U16*2</f>
        <v>0</v>
      </c>
      <c r="H11" s="8">
        <v>0</v>
      </c>
      <c r="I11" s="8">
        <v>0</v>
      </c>
      <c r="J11" s="8">
        <v>0</v>
      </c>
      <c r="K11" s="8">
        <v>0</v>
      </c>
      <c r="L11" s="81"/>
      <c r="M11" s="81"/>
      <c r="N11" s="81"/>
      <c r="O11" s="81"/>
      <c r="P11" s="9">
        <f>IF(D11&lt;500,0.008*G11,IF(D11&lt;1500,0.014*G11,IF(D11&lt;5000,0.022*G11,IF(D11&lt;2500,0.048*G11,0))))</f>
        <v>0</v>
      </c>
      <c r="Q11" s="9">
        <f>G11*0.004</f>
        <v>0</v>
      </c>
      <c r="R11" s="9">
        <f>P11+Q11</f>
        <v>0</v>
      </c>
      <c r="S11" s="9">
        <f>0.008*G11</f>
        <v>0</v>
      </c>
      <c r="T11" s="9"/>
      <c r="U11" s="3" t="e">
        <f>IF(AND('Исходные данные'!#REF!=3,'Исходные данные'!K16=1),IF(AND('Исходные данные'!J16&lt;400,'Исходные данные'!J16&gt;=250),30,IF(AND('Исходные данные'!J16&lt;440,'Исходные данные'!J16&gt;=400),95,IF('Исходные данные'!J16&gt;=440,135,0))),0)</f>
        <v>#REF!</v>
      </c>
      <c r="V11" s="3" t="e">
        <f>IF(AND('Исходные данные'!#REF!=3,'Исходные данные'!K16=2),IF('Исходные данные'!J16&lt;450,100,IF('Исходные данные'!J16&gt;=450,135,0)),0)</f>
        <v>#REF!</v>
      </c>
      <c r="W11" s="3" t="e">
        <f>IF(AND('Исходные данные'!#REF!=1,'Исходные данные'!K16=1),IF(AND('Исходные данные'!J16&lt;450,'Исходные данные'!J16&gt;250),30,IF('Исходные данные'!J16&gt;=450,130,0)),0)</f>
        <v>#REF!</v>
      </c>
      <c r="X11" s="3" t="e">
        <f>IF(AND('Исходные данные'!#REF!=1,'Исходные данные'!K16=2),IF(AND('Исходные данные'!J16&lt;400,'Исходные данные'!J16&gt;=250),70,IF(AND('Исходные данные'!J16&gt;=400,'Исходные данные'!J16&lt;440),135,175)),0)</f>
        <v>#REF!</v>
      </c>
      <c r="Y11" s="3">
        <f>IF(AND('Исходные данные'!J16&lt;400,'Исходные данные'!J16&gt;=250),30,IF(AND('Исходные данные'!J16&lt;440,'Исходные данные'!J16&gt;=400),95,IF('Исходные данные'!J16&gt;=440,135,0)))</f>
        <v>0</v>
      </c>
      <c r="Z11" s="3">
        <f>IF('Исходные данные'!J16&gt;=440,135,0)</f>
        <v>0</v>
      </c>
    </row>
    <row r="12" spans="1:26" s="3" customFormat="1">
      <c r="A12" s="62">
        <f>'Исходные данные'!B17</f>
        <v>0</v>
      </c>
      <c r="B12" s="93" t="s">
        <v>142</v>
      </c>
      <c r="C12" s="91" t="s">
        <v>141</v>
      </c>
      <c r="D12" s="75">
        <v>102</v>
      </c>
      <c r="E12" s="72">
        <v>37.299999999999997</v>
      </c>
      <c r="F12" s="63">
        <v>1</v>
      </c>
      <c r="G12" s="63">
        <f>'Исходные данные'!U17*2</f>
        <v>0</v>
      </c>
      <c r="H12" s="75">
        <v>0</v>
      </c>
      <c r="I12" s="63">
        <v>0</v>
      </c>
      <c r="J12" s="8"/>
      <c r="K12" s="67">
        <v>0</v>
      </c>
      <c r="L12" s="81"/>
      <c r="M12" s="81"/>
      <c r="N12" s="81"/>
      <c r="O12" s="81"/>
      <c r="P12" s="9">
        <f t="shared" ref="P12:P25" si="0">IF(D12&lt;500,0.008*G12,IF(D12&lt;1500,0.014*G12,IF(D12&lt;5000,0.022*G12,IF(D12&lt;2500,0.048*G12,0))))</f>
        <v>0</v>
      </c>
      <c r="Q12" s="9">
        <f t="shared" ref="Q12:Q25" si="1">G12*0.004</f>
        <v>0</v>
      </c>
      <c r="R12" s="9">
        <f t="shared" ref="R12:R25" si="2">P12+Q12</f>
        <v>0</v>
      </c>
      <c r="S12" s="9">
        <f t="shared" ref="S12:S25" si="3">0.008*G12</f>
        <v>0</v>
      </c>
      <c r="T12" s="9"/>
      <c r="U12" s="66" t="e">
        <f>IF(AND('Исходные данные'!#REF!=3,'Исходные данные'!K17=1),IF(AND('Исходные данные'!J17&lt;400,'Исходные данные'!J17&gt;=250),30,IF(AND('Исходные данные'!J17&lt;440,'Исходные данные'!J17&gt;=400),95,IF('Исходные данные'!J17&gt;=440,135,0))),0)</f>
        <v>#REF!</v>
      </c>
      <c r="V12" s="66" t="e">
        <f>IF(AND('Исходные данные'!#REF!=3,'Исходные данные'!K17=2),IF('Исходные данные'!J17&lt;450,100,IF('Исходные данные'!J17&gt;=450,135,0)),0)</f>
        <v>#REF!</v>
      </c>
      <c r="W12" s="66" t="e">
        <f>IF(AND('Исходные данные'!#REF!=1,'Исходные данные'!K17=1),IF(AND('Исходные данные'!J17&lt;450,'Исходные данные'!J17&gt;250),30,IF('Исходные данные'!J17&gt;=450,130,0)),0)</f>
        <v>#REF!</v>
      </c>
      <c r="X12" s="66" t="e">
        <f>IF(AND('Исходные данные'!#REF!=1,'Исходные данные'!K17=2),IF(AND('Исходные данные'!J17&lt;400,'Исходные данные'!J17&gt;=250),70,IF(AND('Исходные данные'!J17&gt;=400,'Исходные данные'!J17&lt;440),135,175)),0)</f>
        <v>#REF!</v>
      </c>
    </row>
    <row r="13" spans="1:26" s="3" customFormat="1">
      <c r="A13" s="62">
        <f>'Исходные данные'!B18</f>
        <v>0</v>
      </c>
      <c r="B13" s="93" t="s">
        <v>143</v>
      </c>
      <c r="C13" s="93" t="s">
        <v>141</v>
      </c>
      <c r="D13" s="75">
        <v>102</v>
      </c>
      <c r="E13" s="93">
        <v>37.299999999999997</v>
      </c>
      <c r="F13" s="93">
        <v>1</v>
      </c>
      <c r="G13" s="63">
        <f>'Исходные данные'!U18*2</f>
        <v>0</v>
      </c>
      <c r="H13" s="75"/>
      <c r="I13" s="63"/>
      <c r="J13" s="8"/>
      <c r="K13" s="67"/>
      <c r="L13" s="81"/>
      <c r="M13" s="81"/>
      <c r="N13" s="81"/>
      <c r="O13" s="81"/>
      <c r="P13" s="9">
        <f t="shared" si="0"/>
        <v>0</v>
      </c>
      <c r="Q13" s="9">
        <f t="shared" si="1"/>
        <v>0</v>
      </c>
      <c r="R13" s="9">
        <f t="shared" si="2"/>
        <v>0</v>
      </c>
      <c r="S13" s="9">
        <f t="shared" si="3"/>
        <v>0</v>
      </c>
      <c r="T13" s="9"/>
      <c r="U13" s="66" t="e">
        <f>IF(AND('Исходные данные'!#REF!=3,'Исходные данные'!K18=1),IF(AND('Исходные данные'!J18&lt;400,'Исходные данные'!J18&gt;=250),30,IF(AND('Исходные данные'!J18&lt;440,'Исходные данные'!J18&gt;=400),95,IF('Исходные данные'!J18&gt;=440,135,0))),0)</f>
        <v>#REF!</v>
      </c>
      <c r="V13" s="66" t="e">
        <f>IF(AND('Исходные данные'!#REF!=3,'Исходные данные'!K18=2),IF('Исходные данные'!J18&lt;450,100,IF('Исходные данные'!J18&gt;=450,135,0)),0)</f>
        <v>#REF!</v>
      </c>
      <c r="W13" s="66" t="e">
        <f>IF(AND('Исходные данные'!#REF!=1,'Исходные данные'!K18=1),IF(AND('Исходные данные'!J18&lt;450,'Исходные данные'!J18&gt;250),30,IF('Исходные данные'!J18&gt;=450,130,0)),0)</f>
        <v>#REF!</v>
      </c>
      <c r="X13" s="66" t="e">
        <f>IF(AND('Исходные данные'!#REF!=1,'Исходные данные'!K18=2),IF(AND('Исходные данные'!J18&lt;400,'Исходные данные'!J18&gt;=250),70,IF(AND('Исходные данные'!J18&gt;=400,'Исходные данные'!J18&lt;440),135,175)),0)</f>
        <v>#REF!</v>
      </c>
    </row>
    <row r="14" spans="1:26" s="3" customFormat="1">
      <c r="A14" s="62">
        <f>'Исходные данные'!B19</f>
        <v>0</v>
      </c>
      <c r="B14" s="93" t="s">
        <v>137</v>
      </c>
      <c r="C14" s="93" t="s">
        <v>141</v>
      </c>
      <c r="D14" s="93">
        <v>102</v>
      </c>
      <c r="E14" s="93">
        <v>37.299999999999997</v>
      </c>
      <c r="F14" s="93">
        <v>1</v>
      </c>
      <c r="G14" s="63">
        <f>'Исходные данные'!U19*2</f>
        <v>0</v>
      </c>
      <c r="H14" s="75"/>
      <c r="I14" s="63"/>
      <c r="J14" s="8"/>
      <c r="K14" s="67"/>
      <c r="L14" s="81"/>
      <c r="M14" s="81"/>
      <c r="N14" s="81"/>
      <c r="O14" s="81"/>
      <c r="P14" s="9">
        <f t="shared" si="0"/>
        <v>0</v>
      </c>
      <c r="Q14" s="9">
        <f t="shared" si="1"/>
        <v>0</v>
      </c>
      <c r="R14" s="9">
        <f t="shared" si="2"/>
        <v>0</v>
      </c>
      <c r="S14" s="9">
        <f t="shared" si="3"/>
        <v>0</v>
      </c>
      <c r="T14" s="9"/>
      <c r="U14" s="66" t="e">
        <f>IF(AND('Исходные данные'!#REF!=3,'Исходные данные'!K19=1),IF(AND('Исходные данные'!J19&lt;400,'Исходные данные'!J19&gt;=250),30,IF(AND('Исходные данные'!J19&lt;440,'Исходные данные'!J19&gt;=400),95,IF('Исходные данные'!J19&gt;=440,135,0))),0)</f>
        <v>#REF!</v>
      </c>
      <c r="V14" s="66" t="e">
        <f>IF(AND('Исходные данные'!#REF!=3,'Исходные данные'!K19=2),IF('Исходные данные'!J19&lt;450,100,IF('Исходные данные'!J19&gt;=450,135,0)),0)</f>
        <v>#REF!</v>
      </c>
      <c r="W14" s="66" t="e">
        <f>IF(AND('Исходные данные'!#REF!=1,'Исходные данные'!K19=1),IF(AND('Исходные данные'!J19&lt;450,'Исходные данные'!J19&gt;250),30,IF('Исходные данные'!J19&gt;=450,130,0)),0)</f>
        <v>#REF!</v>
      </c>
      <c r="X14" s="66" t="e">
        <f>IF(AND('Исходные данные'!#REF!=1,'Исходные данные'!K19=2),IF(AND('Исходные данные'!J19&lt;400,'Исходные данные'!J19&gt;=250),70,IF(AND('Исходные данные'!J19&gt;=400,'Исходные данные'!J19&lt;440),135,175)),0)</f>
        <v>#REF!</v>
      </c>
    </row>
    <row r="15" spans="1:26" s="3" customFormat="1">
      <c r="A15" s="62">
        <f>'Исходные данные'!B20</f>
        <v>0</v>
      </c>
      <c r="B15" s="93"/>
      <c r="C15" s="93"/>
      <c r="D15" s="75"/>
      <c r="E15" s="93"/>
      <c r="F15" s="93"/>
      <c r="G15" s="63"/>
      <c r="H15" s="75"/>
      <c r="I15" s="63"/>
      <c r="J15" s="8"/>
      <c r="K15" s="67"/>
      <c r="L15" s="81"/>
      <c r="M15" s="81"/>
      <c r="N15" s="81"/>
      <c r="O15" s="81"/>
      <c r="P15" s="9">
        <f t="shared" si="0"/>
        <v>0</v>
      </c>
      <c r="Q15" s="9">
        <f t="shared" si="1"/>
        <v>0</v>
      </c>
      <c r="R15" s="9">
        <f t="shared" si="2"/>
        <v>0</v>
      </c>
      <c r="S15" s="9">
        <f t="shared" si="3"/>
        <v>0</v>
      </c>
      <c r="T15" s="9"/>
    </row>
    <row r="16" spans="1:26" s="3" customFormat="1">
      <c r="A16" s="62">
        <f>'Исходные данные'!B21</f>
        <v>0</v>
      </c>
      <c r="B16" s="93"/>
      <c r="C16" s="93"/>
      <c r="D16" s="75"/>
      <c r="E16" s="93"/>
      <c r="F16" s="93"/>
      <c r="G16" s="63"/>
      <c r="H16" s="75"/>
      <c r="I16" s="63"/>
      <c r="J16" s="8"/>
      <c r="K16" s="67"/>
      <c r="L16" s="81"/>
      <c r="M16" s="81"/>
      <c r="N16" s="81"/>
      <c r="O16" s="81"/>
      <c r="P16" s="9">
        <f t="shared" si="0"/>
        <v>0</v>
      </c>
      <c r="Q16" s="9">
        <f t="shared" si="1"/>
        <v>0</v>
      </c>
      <c r="R16" s="9">
        <f t="shared" si="2"/>
        <v>0</v>
      </c>
      <c r="S16" s="9">
        <f t="shared" si="3"/>
        <v>0</v>
      </c>
      <c r="T16" s="9"/>
    </row>
    <row r="17" spans="1:20" s="3" customFormat="1">
      <c r="A17" s="62">
        <f>'Исходные данные'!B22</f>
        <v>0</v>
      </c>
      <c r="B17" s="8" t="e">
        <f>IF('Исходные данные'!#REF!=3,"183.00.00.005/005-01",IF('Исходные данные'!#REF!=1,"0148.10.006","---"))</f>
        <v>#REF!</v>
      </c>
      <c r="C17" s="8"/>
      <c r="D17" s="75" t="e">
        <f>IF(AND('Исходные данные'!#REF!=3,'Исходные данные'!K22=1),'Исходные данные'!J22-'Ножницы (2)'!K17-15,IF(AND('Исходные данные'!#REF!=3,'Исходные данные'!K22=2),'Исходные данные'!J22-'Ножницы (2)'!K17-20,IF(AND('Исходные данные'!#REF!=1,'Исходные данные'!K22=1),'Исходные данные'!J22-'Ножницы (2)'!K17-10,IF(AND('Исходные данные'!#REF!=1,'Исходные данные'!K22=2),'Исходные данные'!J22-'Ножницы (2)'!K17-24,0))))</f>
        <v>#REF!</v>
      </c>
      <c r="E17" s="72" t="e">
        <f>IF(AND('Исходные данные'!#REF!=3,'Исходные данные'!K22=1),55,IF(AND('Исходные данные'!#REF!=3,'Исходные данные'!K22=2),65,IF(AND('Исходные данные'!#REF!=1,'Исходные данные'!K22=1),52,IF(AND('Исходные данные'!#REF!=1,'Исходные данные'!K22=2),53,0))))</f>
        <v>#REF!</v>
      </c>
      <c r="F17" s="63">
        <v>0.7</v>
      </c>
      <c r="G17" s="63">
        <f>'Исходные данные'!U22*2</f>
        <v>0</v>
      </c>
      <c r="H17" s="75" t="e">
        <f>IF(AND('Исходные данные'!#REF!=3,'Исходные данные'!K22=1),15,IF(AND('Исходные данные'!#REF!=3,'Исходные данные'!K22=2),25,IF(AND('Исходные данные'!#REF!=1,'Исходные данные'!K22=1),12,IF(AND('Исходные данные'!#REF!=1,'Исходные данные'!K22=2),15,0))))</f>
        <v>#REF!</v>
      </c>
      <c r="I17" s="63">
        <v>20</v>
      </c>
      <c r="J17" s="8"/>
      <c r="K17" s="67" t="e">
        <f>IF(AND('Исходные данные'!#REF!=3,'Исходные данные'!K22=1),IF(AND('Исходные данные'!J22&lt;400,'Исходные данные'!J22&gt;=250),30,IF(AND('Исходные данные'!J22&lt;440,'Исходные данные'!J22&gt;=400),95,IF('Исходные данные'!J22&gt;=440,135,0))),IF(AND('Исходные данные'!#REF!=3,'Исходные данные'!K22=2),IF('Исходные данные'!J22&lt;450,100,IF('Исходные данные'!J22&gt;=450,135,0)),IF(AND('Исходные данные'!#REF!=1,'Исходные данные'!K22=1),IF(AND('Исходные данные'!J22&lt;450,'Исходные данные'!J22&gt;250),30,IF('Исходные данные'!J22&gt;=450,130,0)),IF(AND('Исходные данные'!#REF!=1,'Исходные данные'!K22=2),IF(AND('Исходные данные'!J22&lt;400,'Исходные данные'!J22&gt;=250),70,IF(AND('Исходные данные'!J22&gt;=400,'Исходные данные'!J22&lt;440),135,175)),0))))</f>
        <v>#REF!</v>
      </c>
      <c r="L17" s="81"/>
      <c r="M17" s="81"/>
      <c r="N17" s="81"/>
      <c r="O17" s="81"/>
      <c r="P17" s="9" t="e">
        <f t="shared" si="0"/>
        <v>#REF!</v>
      </c>
      <c r="Q17" s="9">
        <f t="shared" si="1"/>
        <v>0</v>
      </c>
      <c r="R17" s="9" t="e">
        <f t="shared" si="2"/>
        <v>#REF!</v>
      </c>
      <c r="S17" s="9">
        <f t="shared" si="3"/>
        <v>0</v>
      </c>
      <c r="T17" s="9"/>
    </row>
    <row r="18" spans="1:20" s="3" customFormat="1">
      <c r="A18" s="62">
        <f>'Исходные данные'!B23</f>
        <v>0</v>
      </c>
      <c r="B18" s="8" t="e">
        <f>IF('Исходные данные'!#REF!=3,"183.00.00.005/005-01",IF('Исходные данные'!#REF!=1,"0148.10.006","---"))</f>
        <v>#REF!</v>
      </c>
      <c r="C18" s="8"/>
      <c r="D18" s="75" t="e">
        <f>IF(AND('Исходные данные'!#REF!=3,'Исходные данные'!K23=1),'Исходные данные'!J23-'Ножницы (2)'!K18-15,IF(AND('Исходные данные'!#REF!=3,'Исходные данные'!K23=2),'Исходные данные'!J23-'Ножницы (2)'!K18-20,IF(AND('Исходные данные'!#REF!=1,'Исходные данные'!K23=1),'Исходные данные'!J23-'Ножницы (2)'!K18-10,IF(AND('Исходные данные'!#REF!=1,'Исходные данные'!K23=2),'Исходные данные'!J23-'Ножницы (2)'!K18-24,0))))</f>
        <v>#REF!</v>
      </c>
      <c r="E18" s="72" t="e">
        <f>IF(AND('Исходные данные'!#REF!=3,'Исходные данные'!K23=1),55,IF(AND('Исходные данные'!#REF!=3,'Исходные данные'!K23=2),65,IF(AND('Исходные данные'!#REF!=1,'Исходные данные'!K23=1),52,IF(AND('Исходные данные'!#REF!=1,'Исходные данные'!K23=2),53,0))))</f>
        <v>#REF!</v>
      </c>
      <c r="F18" s="63">
        <v>0.7</v>
      </c>
      <c r="G18" s="63">
        <f>'Исходные данные'!U23*2</f>
        <v>0</v>
      </c>
      <c r="H18" s="75" t="e">
        <f>IF(AND('Исходные данные'!#REF!=3,'Исходные данные'!K23=1),15,IF(AND('Исходные данные'!#REF!=3,'Исходные данные'!K23=2),25,IF(AND('Исходные данные'!#REF!=1,'Исходные данные'!K23=1),12,IF(AND('Исходные данные'!#REF!=1,'Исходные данные'!K23=2),15,0))))</f>
        <v>#REF!</v>
      </c>
      <c r="I18" s="63">
        <v>20</v>
      </c>
      <c r="J18" s="8"/>
      <c r="K18" s="67" t="e">
        <f>IF(AND('Исходные данные'!#REF!=3,'Исходные данные'!K23=1),IF(AND('Исходные данные'!J23&lt;400,'Исходные данные'!J23&gt;=250),30,IF(AND('Исходные данные'!J23&lt;440,'Исходные данные'!J23&gt;=400),95,IF('Исходные данные'!J23&gt;=440,135,0))),IF(AND('Исходные данные'!#REF!=3,'Исходные данные'!K23=2),IF('Исходные данные'!J23&lt;450,100,IF('Исходные данные'!J23&gt;=450,135,0)),IF(AND('Исходные данные'!#REF!=1,'Исходные данные'!K23=1),IF(AND('Исходные данные'!J23&lt;450,'Исходные данные'!J23&gt;250),30,IF('Исходные данные'!J23&gt;=450,130,0)),IF(AND('Исходные данные'!#REF!=1,'Исходные данные'!K23=2),IF(AND('Исходные данные'!J23&lt;400,'Исходные данные'!J23&gt;=250),70,IF(AND('Исходные данные'!J23&gt;=400,'Исходные данные'!J23&lt;440),135,175)),0))))</f>
        <v>#REF!</v>
      </c>
      <c r="L18" s="81"/>
      <c r="M18" s="81"/>
      <c r="N18" s="81"/>
      <c r="O18" s="81"/>
      <c r="P18" s="9" t="e">
        <f t="shared" si="0"/>
        <v>#REF!</v>
      </c>
      <c r="Q18" s="9">
        <f t="shared" si="1"/>
        <v>0</v>
      </c>
      <c r="R18" s="9" t="e">
        <f t="shared" si="2"/>
        <v>#REF!</v>
      </c>
      <c r="S18" s="9">
        <f t="shared" si="3"/>
        <v>0</v>
      </c>
      <c r="T18" s="9"/>
    </row>
    <row r="19" spans="1:20" s="3" customFormat="1">
      <c r="A19" s="62">
        <f>'Исходные данные'!B24</f>
        <v>0</v>
      </c>
      <c r="B19" s="8" t="e">
        <f>IF('Исходные данные'!#REF!=3,"183.00.00.005/005-01",IF('Исходные данные'!#REF!=1,"0148.10.006","---"))</f>
        <v>#REF!</v>
      </c>
      <c r="C19" s="8"/>
      <c r="D19" s="75" t="e">
        <f>IF(AND('Исходные данные'!#REF!=3,'Исходные данные'!K24=1),'Исходные данные'!J24-'Ножницы (2)'!K19-15,IF(AND('Исходные данные'!#REF!=3,'Исходные данные'!K24=2),'Исходные данные'!J24-'Ножницы (2)'!K19-20,IF(AND('Исходные данные'!#REF!=1,'Исходные данные'!K24=1),'Исходные данные'!J24-'Ножницы (2)'!K19-10,IF(AND('Исходные данные'!#REF!=1,'Исходные данные'!K24=2),'Исходные данные'!J24-'Ножницы (2)'!K19-24,0))))</f>
        <v>#REF!</v>
      </c>
      <c r="E19" s="72" t="e">
        <f>IF(AND('Исходные данные'!#REF!=3,'Исходные данные'!K24=1),55,IF(AND('Исходные данные'!#REF!=3,'Исходные данные'!K24=2),65,IF(AND('Исходные данные'!#REF!=1,'Исходные данные'!K24=1),52,IF(AND('Исходные данные'!#REF!=1,'Исходные данные'!K24=2),53,0))))</f>
        <v>#REF!</v>
      </c>
      <c r="F19" s="63">
        <v>0.7</v>
      </c>
      <c r="G19" s="63">
        <f>'Исходные данные'!U24*2</f>
        <v>0</v>
      </c>
      <c r="H19" s="75" t="e">
        <f>IF(AND('Исходные данные'!#REF!=3,'Исходные данные'!K24=1),15,IF(AND('Исходные данные'!#REF!=3,'Исходные данные'!K24=2),25,IF(AND('Исходные данные'!#REF!=1,'Исходные данные'!K24=1),12,IF(AND('Исходные данные'!#REF!=1,'Исходные данные'!K24=2),15,0))))</f>
        <v>#REF!</v>
      </c>
      <c r="I19" s="63">
        <v>20</v>
      </c>
      <c r="J19" s="8"/>
      <c r="K19" s="67" t="e">
        <f>IF(AND('Исходные данные'!#REF!=3,'Исходные данные'!K24=1),IF(AND('Исходные данные'!J24&lt;400,'Исходные данные'!J24&gt;=250),30,IF(AND('Исходные данные'!J24&lt;440,'Исходные данные'!J24&gt;=400),95,IF('Исходные данные'!J24&gt;=440,135,0))),IF(AND('Исходные данные'!#REF!=3,'Исходные данные'!K24=2),IF('Исходные данные'!J24&lt;450,100,IF('Исходные данные'!J24&gt;=450,135,0)),IF(AND('Исходные данные'!#REF!=1,'Исходные данные'!K24=1),IF(AND('Исходные данные'!J24&lt;450,'Исходные данные'!J24&gt;250),30,IF('Исходные данные'!J24&gt;=450,130,0)),IF(AND('Исходные данные'!#REF!=1,'Исходные данные'!K24=2),IF(AND('Исходные данные'!J24&lt;400,'Исходные данные'!J24&gt;=250),70,IF(AND('Исходные данные'!J24&gt;=400,'Исходные данные'!J24&lt;440),135,175)),0))))</f>
        <v>#REF!</v>
      </c>
      <c r="L19" s="81"/>
      <c r="M19" s="81"/>
      <c r="N19" s="81"/>
      <c r="O19" s="81"/>
      <c r="P19" s="9" t="e">
        <f t="shared" si="0"/>
        <v>#REF!</v>
      </c>
      <c r="Q19" s="9">
        <f t="shared" si="1"/>
        <v>0</v>
      </c>
      <c r="R19" s="9" t="e">
        <f t="shared" si="2"/>
        <v>#REF!</v>
      </c>
      <c r="S19" s="9">
        <f t="shared" si="3"/>
        <v>0</v>
      </c>
      <c r="T19" s="9"/>
    </row>
    <row r="20" spans="1:20" s="3" customFormat="1">
      <c r="A20" s="62">
        <f>'Исходные данные'!B25</f>
        <v>0</v>
      </c>
      <c r="B20" s="8" t="e">
        <f>IF('Исходные данные'!#REF!=3,"183.00.00.005/005-01",IF('Исходные данные'!#REF!=1,"0148.10.006","---"))</f>
        <v>#REF!</v>
      </c>
      <c r="C20" s="8"/>
      <c r="D20" s="75" t="e">
        <f>IF(AND('Исходные данные'!#REF!=3,'Исходные данные'!K25=1),'Исходные данные'!J25-'Ножницы (2)'!K20-15,IF(AND('Исходные данные'!#REF!=3,'Исходные данные'!K25=2),'Исходные данные'!J25-'Ножницы (2)'!K20-20,IF(AND('Исходные данные'!#REF!=1,'Исходные данные'!K25=1),'Исходные данные'!J25-'Ножницы (2)'!K20-10,IF(AND('Исходные данные'!#REF!=1,'Исходные данные'!K25=2),'Исходные данные'!J25-'Ножницы (2)'!K20-24,0))))</f>
        <v>#REF!</v>
      </c>
      <c r="E20" s="72" t="e">
        <f>IF(AND('Исходные данные'!#REF!=3,'Исходные данные'!K25=1),55,IF(AND('Исходные данные'!#REF!=3,'Исходные данные'!K25=2),65,IF(AND('Исходные данные'!#REF!=1,'Исходные данные'!K25=1),52,IF(AND('Исходные данные'!#REF!=1,'Исходные данные'!K25=2),53,0))))</f>
        <v>#REF!</v>
      </c>
      <c r="F20" s="63">
        <v>0.7</v>
      </c>
      <c r="G20" s="63">
        <f>'Исходные данные'!U25*2</f>
        <v>0</v>
      </c>
      <c r="H20" s="75" t="e">
        <f>IF(AND('Исходные данные'!#REF!=3,'Исходные данные'!K25=1),15,IF(AND('Исходные данные'!#REF!=3,'Исходные данные'!K25=2),25,IF(AND('Исходные данные'!#REF!=1,'Исходные данные'!K25=1),12,IF(AND('Исходные данные'!#REF!=1,'Исходные данные'!K25=2),15,0))))</f>
        <v>#REF!</v>
      </c>
      <c r="I20" s="63">
        <v>20</v>
      </c>
      <c r="J20" s="8"/>
      <c r="K20" s="67" t="e">
        <f>IF(AND('Исходные данные'!#REF!=3,'Исходные данные'!K25=1),IF(AND('Исходные данные'!J25&lt;400,'Исходные данные'!J25&gt;=250),30,IF(AND('Исходные данные'!J25&lt;440,'Исходные данные'!J25&gt;=400),95,IF('Исходные данные'!J25&gt;=440,135,0))),IF(AND('Исходные данные'!#REF!=3,'Исходные данные'!K25=2),IF('Исходные данные'!J25&lt;450,100,IF('Исходные данные'!J25&gt;=450,135,0)),IF(AND('Исходные данные'!#REF!=1,'Исходные данные'!K25=1),IF(AND('Исходные данные'!J25&lt;450,'Исходные данные'!J25&gt;250),30,IF('Исходные данные'!J25&gt;=450,130,0)),IF(AND('Исходные данные'!#REF!=1,'Исходные данные'!K25=2),IF(AND('Исходные данные'!J25&lt;400,'Исходные данные'!J25&gt;=250),70,IF(AND('Исходные данные'!J25&gt;=400,'Исходные данные'!J25&lt;440),135,175)),0))))</f>
        <v>#REF!</v>
      </c>
      <c r="L20" s="81"/>
      <c r="M20" s="81"/>
      <c r="N20" s="81"/>
      <c r="O20" s="81"/>
      <c r="P20" s="9" t="e">
        <f t="shared" si="0"/>
        <v>#REF!</v>
      </c>
      <c r="Q20" s="9">
        <f t="shared" si="1"/>
        <v>0</v>
      </c>
      <c r="R20" s="9" t="e">
        <f t="shared" si="2"/>
        <v>#REF!</v>
      </c>
      <c r="S20" s="9">
        <f t="shared" si="3"/>
        <v>0</v>
      </c>
      <c r="T20" s="9"/>
    </row>
    <row r="21" spans="1:20" s="3" customFormat="1">
      <c r="A21" s="62">
        <f>'Исходные данные'!B26</f>
        <v>0</v>
      </c>
      <c r="B21" s="8" t="e">
        <f>IF('Исходные данные'!#REF!=3,"183.00.00.005/005-01",IF('Исходные данные'!#REF!=1,"0148.10.006","---"))</f>
        <v>#REF!</v>
      </c>
      <c r="C21" s="8"/>
      <c r="D21" s="75" t="e">
        <f>IF(AND('Исходные данные'!#REF!=3,'Исходные данные'!K26=1),'Исходные данные'!J26-'Ножницы (2)'!K21-15,IF(AND('Исходные данные'!#REF!=3,'Исходные данные'!K26=2),'Исходные данные'!J26-'Ножницы (2)'!K21-20,IF(AND('Исходные данные'!#REF!=1,'Исходные данные'!K26=1),'Исходные данные'!J26-'Ножницы (2)'!K21-10,IF(AND('Исходные данные'!#REF!=1,'Исходные данные'!K26=2),'Исходные данные'!J26-'Ножницы (2)'!K21-24,0))))</f>
        <v>#REF!</v>
      </c>
      <c r="E21" s="72" t="e">
        <f>IF(AND('Исходные данные'!#REF!=3,'Исходные данные'!K26=1),55,IF(AND('Исходные данные'!#REF!=3,'Исходные данные'!K26=2),65,IF(AND('Исходные данные'!#REF!=1,'Исходные данные'!K26=1),52,IF(AND('Исходные данные'!#REF!=1,'Исходные данные'!K26=2),53,0))))</f>
        <v>#REF!</v>
      </c>
      <c r="F21" s="63">
        <v>0.7</v>
      </c>
      <c r="G21" s="63">
        <f>'Исходные данные'!U26*2</f>
        <v>0</v>
      </c>
      <c r="H21" s="75" t="e">
        <f>IF(AND('Исходные данные'!#REF!=3,'Исходные данные'!K26=1),15,IF(AND('Исходные данные'!#REF!=3,'Исходные данные'!K26=2),25,IF(AND('Исходные данные'!#REF!=1,'Исходные данные'!K26=1),12,IF(AND('Исходные данные'!#REF!=1,'Исходные данные'!K26=2),15,0))))</f>
        <v>#REF!</v>
      </c>
      <c r="I21" s="63">
        <v>20</v>
      </c>
      <c r="J21" s="8"/>
      <c r="K21" s="67" t="e">
        <f>IF(AND('Исходные данные'!#REF!=3,'Исходные данные'!K26=1),IF(AND('Исходные данные'!J26&lt;400,'Исходные данные'!J26&gt;=250),30,IF(AND('Исходные данные'!J26&lt;440,'Исходные данные'!J26&gt;=400),95,IF('Исходные данные'!J26&gt;=440,135,0))),IF(AND('Исходные данные'!#REF!=3,'Исходные данные'!K26=2),IF('Исходные данные'!J26&lt;450,100,IF('Исходные данные'!J26&gt;=450,135,0)),IF(AND('Исходные данные'!#REF!=1,'Исходные данные'!K26=1),IF(AND('Исходные данные'!J26&lt;450,'Исходные данные'!J26&gt;250),30,IF('Исходные данные'!J26&gt;=450,130,0)),IF(AND('Исходные данные'!#REF!=1,'Исходные данные'!K26=2),IF(AND('Исходные данные'!J26&lt;400,'Исходные данные'!J26&gt;=250),70,IF(AND('Исходные данные'!J26&gt;=400,'Исходные данные'!J26&lt;440),135,175)),0))))</f>
        <v>#REF!</v>
      </c>
      <c r="L21" s="81"/>
      <c r="M21" s="81"/>
      <c r="N21" s="81"/>
      <c r="O21" s="81"/>
      <c r="P21" s="9" t="e">
        <f t="shared" si="0"/>
        <v>#REF!</v>
      </c>
      <c r="Q21" s="9">
        <f t="shared" si="1"/>
        <v>0</v>
      </c>
      <c r="R21" s="9" t="e">
        <f t="shared" si="2"/>
        <v>#REF!</v>
      </c>
      <c r="S21" s="9">
        <f t="shared" si="3"/>
        <v>0</v>
      </c>
      <c r="T21" s="9"/>
    </row>
    <row r="22" spans="1:20" s="3" customFormat="1">
      <c r="A22" s="62">
        <f>'Исходные данные'!B27</f>
        <v>0</v>
      </c>
      <c r="B22" s="8" t="e">
        <f>IF('Исходные данные'!#REF!=3,"183.00.00.005/005-01",IF('Исходные данные'!#REF!=1,"0148.10.006","---"))</f>
        <v>#REF!</v>
      </c>
      <c r="C22" s="8"/>
      <c r="D22" s="75" t="e">
        <f>IF(AND('Исходные данные'!#REF!=3,'Исходные данные'!K27=1),'Исходные данные'!J27-'Ножницы (2)'!K22-15,IF(AND('Исходные данные'!#REF!=3,'Исходные данные'!K27=2),'Исходные данные'!J27-'Ножницы (2)'!K22-20,IF(AND('Исходные данные'!#REF!=1,'Исходные данные'!K27=1),'Исходные данные'!J27-'Ножницы (2)'!K22-10,IF(AND('Исходные данные'!#REF!=1,'Исходные данные'!K27=2),'Исходные данные'!J27-'Ножницы (2)'!K22-24,0))))</f>
        <v>#REF!</v>
      </c>
      <c r="E22" s="72" t="e">
        <f>IF(AND('Исходные данные'!#REF!=3,'Исходные данные'!K27=1),55,IF(AND('Исходные данные'!#REF!=3,'Исходные данные'!K27=2),65,IF(AND('Исходные данные'!#REF!=1,'Исходные данные'!K27=1),52,IF(AND('Исходные данные'!#REF!=1,'Исходные данные'!K27=2),53,0))))</f>
        <v>#REF!</v>
      </c>
      <c r="F22" s="63">
        <v>0.7</v>
      </c>
      <c r="G22" s="63">
        <f>'Исходные данные'!U27*2</f>
        <v>0</v>
      </c>
      <c r="H22" s="75" t="e">
        <f>IF(AND('Исходные данные'!#REF!=3,'Исходные данные'!K27=1),15,IF(AND('Исходные данные'!#REF!=3,'Исходные данные'!K27=2),25,IF(AND('Исходные данные'!#REF!=1,'Исходные данные'!K27=1),12,IF(AND('Исходные данные'!#REF!=1,'Исходные данные'!K27=2),15,0))))</f>
        <v>#REF!</v>
      </c>
      <c r="I22" s="63">
        <v>20</v>
      </c>
      <c r="J22" s="8"/>
      <c r="K22" s="67" t="e">
        <f>IF(AND('Исходные данные'!#REF!=3,'Исходные данные'!K27=1),IF(AND('Исходные данные'!J27&lt;400,'Исходные данные'!J27&gt;=250),30,IF(AND('Исходные данные'!J27&lt;440,'Исходные данные'!J27&gt;=400),95,IF('Исходные данные'!J27&gt;=440,135,0))),IF(AND('Исходные данные'!#REF!=3,'Исходные данные'!K27=2),IF('Исходные данные'!J27&lt;450,100,IF('Исходные данные'!J27&gt;=450,135,0)),IF(AND('Исходные данные'!#REF!=1,'Исходные данные'!K27=1),IF(AND('Исходные данные'!J27&lt;450,'Исходные данные'!J27&gt;250),30,IF('Исходные данные'!J27&gt;=450,130,0)),IF(AND('Исходные данные'!#REF!=1,'Исходные данные'!K27=2),IF(AND('Исходные данные'!J27&lt;400,'Исходные данные'!J27&gt;=250),70,IF(AND('Исходные данные'!J27&gt;=400,'Исходные данные'!J27&lt;440),135,175)),0))))</f>
        <v>#REF!</v>
      </c>
      <c r="L22" s="81"/>
      <c r="M22" s="81"/>
      <c r="N22" s="81"/>
      <c r="O22" s="81"/>
      <c r="P22" s="9" t="e">
        <f t="shared" si="0"/>
        <v>#REF!</v>
      </c>
      <c r="Q22" s="9">
        <f t="shared" si="1"/>
        <v>0</v>
      </c>
      <c r="R22" s="9" t="e">
        <f t="shared" si="2"/>
        <v>#REF!</v>
      </c>
      <c r="S22" s="9">
        <f t="shared" si="3"/>
        <v>0</v>
      </c>
      <c r="T22" s="9"/>
    </row>
    <row r="23" spans="1:20" s="3" customFormat="1">
      <c r="A23" s="62">
        <f>'Исходные данные'!B28</f>
        <v>0</v>
      </c>
      <c r="B23" s="8" t="e">
        <f>IF('Исходные данные'!#REF!=3,"183.00.00.005/005-01",IF('Исходные данные'!#REF!=1,"0148.10.006","---"))</f>
        <v>#REF!</v>
      </c>
      <c r="C23" s="8"/>
      <c r="D23" s="75" t="e">
        <f>IF(AND('Исходные данные'!#REF!=3,'Исходные данные'!K28=1),'Исходные данные'!J28-'Ножницы (2)'!K23-15,IF(AND('Исходные данные'!#REF!=3,'Исходные данные'!K28=2),'Исходные данные'!J28-'Ножницы (2)'!K23-20,IF(AND('Исходные данные'!#REF!=1,'Исходные данные'!K28=1),'Исходные данные'!J28-'Ножницы (2)'!K23-10,IF(AND('Исходные данные'!#REF!=1,'Исходные данные'!K28=2),'Исходные данные'!J28-'Ножницы (2)'!K23-24,0))))</f>
        <v>#REF!</v>
      </c>
      <c r="E23" s="72" t="e">
        <f>IF(AND('Исходные данные'!#REF!=3,'Исходные данные'!K28=1),55,IF(AND('Исходные данные'!#REF!=3,'Исходные данные'!K28=2),65,IF(AND('Исходные данные'!#REF!=1,'Исходные данные'!K28=1),52,IF(AND('Исходные данные'!#REF!=1,'Исходные данные'!K28=2),53,0))))</f>
        <v>#REF!</v>
      </c>
      <c r="F23" s="63">
        <v>0.7</v>
      </c>
      <c r="G23" s="63">
        <f>'Исходные данные'!U28*2</f>
        <v>0</v>
      </c>
      <c r="H23" s="75" t="e">
        <f>IF(AND('Исходные данные'!#REF!=3,'Исходные данные'!K28=1),15,IF(AND('Исходные данные'!#REF!=3,'Исходные данные'!K28=2),25,IF(AND('Исходные данные'!#REF!=1,'Исходные данные'!K28=1),12,IF(AND('Исходные данные'!#REF!=1,'Исходные данные'!K28=2),15,0))))</f>
        <v>#REF!</v>
      </c>
      <c r="I23" s="63">
        <v>20</v>
      </c>
      <c r="J23" s="8"/>
      <c r="K23" s="67" t="e">
        <f>IF(AND('Исходные данные'!#REF!=3,'Исходные данные'!K28=1),IF(AND('Исходные данные'!J28&lt;400,'Исходные данные'!J28&gt;=250),30,IF(AND('Исходные данные'!J28&lt;440,'Исходные данные'!J28&gt;=400),95,IF('Исходные данные'!J28&gt;=440,135,0))),IF(AND('Исходные данные'!#REF!=3,'Исходные данные'!K28=2),IF('Исходные данные'!J28&lt;450,100,IF('Исходные данные'!J28&gt;=450,135,0)),IF(AND('Исходные данные'!#REF!=1,'Исходные данные'!K28=1),IF(AND('Исходные данные'!J28&lt;450,'Исходные данные'!J28&gt;250),30,IF('Исходные данные'!J28&gt;=450,130,0)),IF(AND('Исходные данные'!#REF!=1,'Исходные данные'!K28=2),IF(AND('Исходные данные'!J28&lt;400,'Исходные данные'!J28&gt;=250),70,IF(AND('Исходные данные'!J28&gt;=400,'Исходные данные'!J28&lt;440),135,175)),0))))</f>
        <v>#REF!</v>
      </c>
      <c r="L23" s="81"/>
      <c r="M23" s="81"/>
      <c r="N23" s="81"/>
      <c r="O23" s="81"/>
      <c r="P23" s="9" t="e">
        <f t="shared" si="0"/>
        <v>#REF!</v>
      </c>
      <c r="Q23" s="9">
        <f t="shared" si="1"/>
        <v>0</v>
      </c>
      <c r="R23" s="9" t="e">
        <f t="shared" si="2"/>
        <v>#REF!</v>
      </c>
      <c r="S23" s="9">
        <f t="shared" si="3"/>
        <v>0</v>
      </c>
      <c r="T23" s="9"/>
    </row>
    <row r="24" spans="1:20" s="3" customFormat="1">
      <c r="A24" s="62">
        <f>'Исходные данные'!B29</f>
        <v>0</v>
      </c>
      <c r="B24" s="8" t="e">
        <f>IF('Исходные данные'!#REF!=3,"183.00.00.005/005-01",IF('Исходные данные'!#REF!=1,"0148.10.006","---"))</f>
        <v>#REF!</v>
      </c>
      <c r="C24" s="8"/>
      <c r="D24" s="75" t="e">
        <f>IF(AND('Исходные данные'!#REF!=3,'Исходные данные'!K29=1),'Исходные данные'!J29-'Ножницы (2)'!K24-15,IF(AND('Исходные данные'!#REF!=3,'Исходные данные'!K29=2),'Исходные данные'!J29-'Ножницы (2)'!K24-20,IF(AND('Исходные данные'!#REF!=1,'Исходные данные'!K29=1),'Исходные данные'!J29-'Ножницы (2)'!K24-10,IF(AND('Исходные данные'!#REF!=1,'Исходные данные'!K29=2),'Исходные данные'!J29-'Ножницы (2)'!K24-24,0))))</f>
        <v>#REF!</v>
      </c>
      <c r="E24" s="72" t="e">
        <f>IF(AND('Исходные данные'!#REF!=3,'Исходные данные'!K29=1),55,IF(AND('Исходные данные'!#REF!=3,'Исходные данные'!K29=2),65,IF(AND('Исходные данные'!#REF!=1,'Исходные данные'!K29=1),52,IF(AND('Исходные данные'!#REF!=1,'Исходные данные'!K29=2),53,0))))</f>
        <v>#REF!</v>
      </c>
      <c r="F24" s="63">
        <v>0.7</v>
      </c>
      <c r="G24" s="63">
        <f>'Исходные данные'!U29*2</f>
        <v>0</v>
      </c>
      <c r="H24" s="75" t="e">
        <f>IF(AND('Исходные данные'!#REF!=3,'Исходные данные'!K29=1),15,IF(AND('Исходные данные'!#REF!=3,'Исходные данные'!K29=2),25,IF(AND('Исходные данные'!#REF!=1,'Исходные данные'!K29=1),12,IF(AND('Исходные данные'!#REF!=1,'Исходные данные'!K29=2),15,0))))</f>
        <v>#REF!</v>
      </c>
      <c r="I24" s="63">
        <v>20</v>
      </c>
      <c r="J24" s="8"/>
      <c r="K24" s="67" t="e">
        <f>IF(AND('Исходные данные'!#REF!=3,'Исходные данные'!K29=1),IF(AND('Исходные данные'!J29&lt;400,'Исходные данные'!J29&gt;=250),30,IF(AND('Исходные данные'!J29&lt;440,'Исходные данные'!J29&gt;=400),95,IF('Исходные данные'!J29&gt;=440,135,0))),IF(AND('Исходные данные'!#REF!=3,'Исходные данные'!K29=2),IF('Исходные данные'!J29&lt;450,100,IF('Исходные данные'!J29&gt;=450,135,0)),IF(AND('Исходные данные'!#REF!=1,'Исходные данные'!K29=1),IF(AND('Исходные данные'!J29&lt;450,'Исходные данные'!J29&gt;250),30,IF('Исходные данные'!J29&gt;=450,130,0)),IF(AND('Исходные данные'!#REF!=1,'Исходные данные'!K29=2),IF(AND('Исходные данные'!J29&lt;400,'Исходные данные'!J29&gt;=250),70,IF(AND('Исходные данные'!J29&gt;=400,'Исходные данные'!J29&lt;440),135,175)),0))))</f>
        <v>#REF!</v>
      </c>
      <c r="L24" s="81"/>
      <c r="M24" s="81"/>
      <c r="N24" s="81"/>
      <c r="O24" s="81"/>
      <c r="P24" s="9" t="e">
        <f t="shared" si="0"/>
        <v>#REF!</v>
      </c>
      <c r="Q24" s="9">
        <f t="shared" si="1"/>
        <v>0</v>
      </c>
      <c r="R24" s="9" t="e">
        <f t="shared" si="2"/>
        <v>#REF!</v>
      </c>
      <c r="S24" s="9">
        <f t="shared" si="3"/>
        <v>0</v>
      </c>
      <c r="T24" s="9"/>
    </row>
    <row r="25" spans="1:20" s="3" customFormat="1">
      <c r="A25" s="62">
        <f>'Исходные данные'!B30</f>
        <v>0</v>
      </c>
      <c r="B25" s="8" t="e">
        <f>IF('Исходные данные'!#REF!=3,"183.00.00.005/005-01",IF('Исходные данные'!#REF!=1,"0148.10.006","---"))</f>
        <v>#REF!</v>
      </c>
      <c r="C25" s="8"/>
      <c r="D25" s="75" t="e">
        <f>IF(AND('Исходные данные'!#REF!=3,'Исходные данные'!K30=1),'Исходные данные'!J30-'Ножницы (2)'!K25-15,IF(AND('Исходные данные'!#REF!=3,'Исходные данные'!K30=2),'Исходные данные'!J30-'Ножницы (2)'!K25-20,IF(AND('Исходные данные'!#REF!=1,'Исходные данные'!K30=1),'Исходные данные'!J30-'Ножницы (2)'!K25-10,IF(AND('Исходные данные'!#REF!=1,'Исходные данные'!K30=2),'Исходные данные'!J30-'Ножницы (2)'!K25-24,0))))</f>
        <v>#REF!</v>
      </c>
      <c r="E25" s="72" t="e">
        <f>IF(AND('Исходные данные'!#REF!=3,'Исходные данные'!K30=1),55,IF(AND('Исходные данные'!#REF!=3,'Исходные данные'!K30=2),65,IF(AND('Исходные данные'!#REF!=1,'Исходные данные'!K30=1),52,IF(AND('Исходные данные'!#REF!=1,'Исходные данные'!K30=2),53,0))))</f>
        <v>#REF!</v>
      </c>
      <c r="F25" s="63">
        <v>0.7</v>
      </c>
      <c r="G25" s="63">
        <f>'Исходные данные'!U30*2</f>
        <v>0</v>
      </c>
      <c r="H25" s="75" t="e">
        <f>IF(AND('Исходные данные'!#REF!=3,'Исходные данные'!K30=1),15,IF(AND('Исходные данные'!#REF!=3,'Исходные данные'!K30=2),25,IF(AND('Исходные данные'!#REF!=1,'Исходные данные'!K30=1),12,IF(AND('Исходные данные'!#REF!=1,'Исходные данные'!K30=2),15,0))))</f>
        <v>#REF!</v>
      </c>
      <c r="I25" s="63">
        <v>20</v>
      </c>
      <c r="J25" s="8"/>
      <c r="K25" s="67" t="e">
        <f>IF(AND('Исходные данные'!#REF!=3,'Исходные данные'!K30=1),IF(AND('Исходные данные'!J30&lt;400,'Исходные данные'!J30&gt;=250),30,IF(AND('Исходные данные'!J30&lt;440,'Исходные данные'!J30&gt;=400),95,IF('Исходные данные'!J30&gt;=440,135,0))),IF(AND('Исходные данные'!#REF!=3,'Исходные данные'!K30=2),IF('Исходные данные'!J30&lt;450,100,IF('Исходные данные'!J30&gt;=450,135,0)),IF(AND('Исходные данные'!#REF!=1,'Исходные данные'!K30=1),IF(AND('Исходные данные'!J30&lt;450,'Исходные данные'!J30&gt;250),30,IF('Исходные данные'!J30&gt;=450,130,0)),IF(AND('Исходные данные'!#REF!=1,'Исходные данные'!K30=2),IF(AND('Исходные данные'!J30&lt;400,'Исходные данные'!J30&gt;=250),70,IF(AND('Исходные данные'!J30&gt;=400,'Исходные данные'!J30&lt;440),135,175)),0))))</f>
        <v>#REF!</v>
      </c>
      <c r="L25" s="81"/>
      <c r="M25" s="81"/>
      <c r="N25" s="81"/>
      <c r="O25" s="81"/>
      <c r="P25" s="9" t="e">
        <f t="shared" si="0"/>
        <v>#REF!</v>
      </c>
      <c r="Q25" s="9">
        <f t="shared" si="1"/>
        <v>0</v>
      </c>
      <c r="R25" s="9" t="e">
        <f t="shared" si="2"/>
        <v>#REF!</v>
      </c>
      <c r="S25" s="9">
        <f t="shared" si="3"/>
        <v>0</v>
      </c>
      <c r="T25" s="9"/>
    </row>
    <row r="26" spans="1:20" s="3" customFormat="1">
      <c r="A26" s="30"/>
      <c r="L26" s="80"/>
      <c r="M26" s="80"/>
      <c r="N26" s="80"/>
      <c r="O26" s="80"/>
      <c r="R26" s="3" t="e">
        <f>SUM(R11:R25)</f>
        <v>#REF!</v>
      </c>
      <c r="S26" s="3">
        <f>SUM(S11:S25)</f>
        <v>0</v>
      </c>
    </row>
    <row r="27" spans="1:20" s="3" customFormat="1">
      <c r="A27" s="30"/>
      <c r="L27" s="80"/>
      <c r="M27" s="80"/>
      <c r="N27" s="80"/>
      <c r="O27" s="80"/>
    </row>
    <row r="28" spans="1:20" s="3" customFormat="1">
      <c r="A28" s="30"/>
      <c r="B28" s="2" t="s">
        <v>40</v>
      </c>
      <c r="C28" s="2" t="s">
        <v>41</v>
      </c>
      <c r="D28" s="549" t="s">
        <v>45</v>
      </c>
      <c r="E28" s="549"/>
      <c r="F28" s="549"/>
      <c r="L28" s="80"/>
      <c r="M28" s="80"/>
      <c r="N28" s="80"/>
      <c r="O28" s="80"/>
    </row>
    <row r="29" spans="1:20" s="3" customFormat="1">
      <c r="A29" s="30"/>
      <c r="L29" s="80"/>
      <c r="M29" s="80"/>
      <c r="N29" s="80"/>
      <c r="O29" s="80"/>
    </row>
    <row r="30" spans="1:20" s="3" customFormat="1" ht="30" customHeight="1">
      <c r="A30" s="30"/>
      <c r="B30" s="2" t="s">
        <v>13</v>
      </c>
      <c r="C30" s="2" t="s">
        <v>41</v>
      </c>
      <c r="D30" s="557" t="s">
        <v>42</v>
      </c>
      <c r="E30" s="557"/>
      <c r="F30" s="557"/>
      <c r="H30" s="99">
        <v>0.38400000000000001</v>
      </c>
      <c r="L30" s="80"/>
      <c r="M30" s="80"/>
      <c r="N30" s="80"/>
      <c r="O30" s="80"/>
    </row>
    <row r="32" spans="1:20">
      <c r="A32" s="45"/>
      <c r="B32" s="45"/>
      <c r="C32" s="45"/>
      <c r="D32" s="45"/>
      <c r="E32" s="45"/>
      <c r="F32" s="45"/>
      <c r="G32" s="45"/>
      <c r="H32" s="45"/>
    </row>
    <row r="33" spans="1:8" ht="21">
      <c r="A33" s="46" t="s">
        <v>61</v>
      </c>
      <c r="B33" s="46"/>
      <c r="C33" s="46"/>
      <c r="D33" s="46"/>
      <c r="E33" s="46"/>
      <c r="F33" s="20"/>
      <c r="G33" s="20"/>
      <c r="H33" s="20"/>
    </row>
    <row r="34" spans="1:8">
      <c r="A34" s="20"/>
      <c r="B34" s="20"/>
      <c r="C34" s="20"/>
      <c r="D34" s="20"/>
      <c r="E34" s="20"/>
      <c r="F34" s="20"/>
      <c r="G34" s="20"/>
      <c r="H34" s="20"/>
    </row>
    <row r="35" spans="1:8" ht="18.75">
      <c r="A35" s="40" t="s">
        <v>70</v>
      </c>
      <c r="B35" s="40"/>
      <c r="C35" s="40">
        <f>'Исходные данные'!J12</f>
        <v>4444</v>
      </c>
      <c r="D35" s="40"/>
      <c r="E35" s="20"/>
      <c r="F35" s="40"/>
      <c r="G35" s="20"/>
      <c r="H35" s="20"/>
    </row>
    <row r="36" spans="1:8">
      <c r="A36" s="20" t="s">
        <v>75</v>
      </c>
      <c r="B36" s="20"/>
      <c r="C36" s="20"/>
      <c r="D36" s="20"/>
      <c r="E36" s="20"/>
      <c r="F36" s="20"/>
      <c r="G36" s="20"/>
      <c r="H36" s="20"/>
    </row>
    <row r="37" spans="1:8">
      <c r="A37" s="20" t="s">
        <v>62</v>
      </c>
      <c r="B37" s="20"/>
      <c r="C37" s="20"/>
      <c r="D37" s="20"/>
      <c r="E37" s="20"/>
      <c r="F37" s="20"/>
      <c r="G37" s="20"/>
      <c r="H37" s="20"/>
    </row>
    <row r="38" spans="1:8">
      <c r="A38" s="20"/>
      <c r="B38" s="20"/>
      <c r="C38" s="20"/>
      <c r="D38" s="20"/>
      <c r="E38" s="20"/>
      <c r="F38" s="20"/>
      <c r="G38" s="20"/>
      <c r="H38" s="20"/>
    </row>
    <row r="39" spans="1:8">
      <c r="A39" s="20" t="s">
        <v>40</v>
      </c>
      <c r="B39" s="20" t="s">
        <v>45</v>
      </c>
      <c r="C39" s="20"/>
      <c r="D39" s="20" t="s">
        <v>128</v>
      </c>
      <c r="E39" s="20"/>
      <c r="F39" s="20"/>
      <c r="G39" s="20"/>
      <c r="H39" s="20"/>
    </row>
    <row r="40" spans="1:8">
      <c r="A40" s="20"/>
      <c r="B40" s="20"/>
      <c r="C40" s="20"/>
      <c r="D40" s="20"/>
      <c r="E40" s="20"/>
      <c r="F40" s="20"/>
      <c r="G40" s="20"/>
      <c r="H40" s="20"/>
    </row>
    <row r="41" spans="1:8">
      <c r="A41" s="20" t="s">
        <v>63</v>
      </c>
      <c r="B41" s="20"/>
      <c r="C41" s="20"/>
      <c r="D41" s="20" t="s">
        <v>128</v>
      </c>
      <c r="E41" s="20"/>
      <c r="F41" s="20"/>
      <c r="G41" s="20"/>
      <c r="H41" s="20"/>
    </row>
    <row r="42" spans="1:8">
      <c r="A42" s="20"/>
      <c r="B42" s="20"/>
      <c r="C42" s="20"/>
      <c r="D42" s="20"/>
      <c r="E42" s="20"/>
      <c r="F42" s="20"/>
      <c r="G42" s="20"/>
      <c r="H42" s="20"/>
    </row>
    <row r="43" spans="1:8">
      <c r="A43" s="20"/>
      <c r="B43" s="20"/>
      <c r="C43" s="20"/>
      <c r="D43" s="20"/>
      <c r="E43" s="20"/>
      <c r="F43" s="20"/>
      <c r="G43" s="20"/>
      <c r="H43" s="20"/>
    </row>
    <row r="44" spans="1:8">
      <c r="A44" s="20" t="s">
        <v>64</v>
      </c>
      <c r="B44" s="20"/>
      <c r="C44" s="20"/>
      <c r="D44" s="20" t="s">
        <v>128</v>
      </c>
      <c r="E44" s="20"/>
      <c r="F44" s="20"/>
      <c r="G44" s="20"/>
      <c r="H44" s="20"/>
    </row>
    <row r="45" spans="1:8">
      <c r="A45" s="20"/>
      <c r="B45" s="20"/>
      <c r="C45" s="20"/>
      <c r="D45" s="20"/>
      <c r="E45" s="20"/>
      <c r="F45" s="20"/>
      <c r="G45" s="20"/>
      <c r="H45" s="20"/>
    </row>
  </sheetData>
  <mergeCells count="14">
    <mergeCell ref="U9:X9"/>
    <mergeCell ref="A9:A10"/>
    <mergeCell ref="D28:F28"/>
    <mergeCell ref="D30:F30"/>
    <mergeCell ref="B9:B10"/>
    <mergeCell ref="H9:I9"/>
    <mergeCell ref="E9:E10"/>
    <mergeCell ref="F9:F10"/>
    <mergeCell ref="G9:G10"/>
    <mergeCell ref="C9:C10"/>
    <mergeCell ref="L9:L10"/>
    <mergeCell ref="M9:M10"/>
    <mergeCell ref="N9:N10"/>
    <mergeCell ref="O9:O10"/>
  </mergeCells>
  <pageMargins left="7.874015748031496E-2" right="7.874015748031496E-2" top="0.74803149606299213" bottom="0.74803149606299213" header="0.31496062992125984" footer="0.31496062992125984"/>
  <pageSetup paperSize="9" scale="6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0"/>
  <sheetViews>
    <sheetView tabSelected="1" view="pageBreakPreview" topLeftCell="A2" zoomScale="86" zoomScaleNormal="110" zoomScaleSheetLayoutView="86" workbookViewId="0">
      <selection activeCell="Z11" sqref="Z11"/>
    </sheetView>
  </sheetViews>
  <sheetFormatPr defaultRowHeight="14.25"/>
  <cols>
    <col min="1" max="1" width="5" style="25" customWidth="1"/>
    <col min="2" max="2" width="9.7109375" style="25" customWidth="1"/>
    <col min="3" max="3" width="11.7109375" style="26" customWidth="1"/>
    <col min="4" max="4" width="11.42578125" style="26" customWidth="1"/>
    <col min="5" max="5" width="8.85546875" style="26" customWidth="1"/>
    <col min="6" max="6" width="12" style="237" customWidth="1"/>
    <col min="7" max="7" width="12.140625" style="26" customWidth="1"/>
    <col min="8" max="8" width="8.85546875" style="26" customWidth="1"/>
    <col min="9" max="9" width="8.85546875" style="237" hidden="1" customWidth="1"/>
    <col min="10" max="10" width="10.42578125" style="26" customWidth="1"/>
    <col min="11" max="11" width="11" style="26" customWidth="1"/>
    <col min="12" max="12" width="7.85546875" style="26" customWidth="1"/>
    <col min="13" max="13" width="8.5703125" style="26" customWidth="1"/>
    <col min="14" max="14" width="8.85546875" style="26" customWidth="1"/>
    <col min="15" max="15" width="8.85546875" style="237" hidden="1" customWidth="1"/>
    <col min="16" max="17" width="10.140625" style="25" hidden="1" customWidth="1"/>
    <col min="18" max="21" width="11.42578125" style="25" hidden="1" customWidth="1"/>
    <col min="22" max="22" width="12.28515625" style="25" hidden="1" customWidth="1"/>
    <col min="23" max="16384" width="9.140625" style="25"/>
  </cols>
  <sheetData>
    <row r="1" spans="1:22" hidden="1">
      <c r="B1" s="25" t="s">
        <v>131</v>
      </c>
      <c r="C1" s="237" t="s">
        <v>27</v>
      </c>
    </row>
    <row r="2" spans="1:22" ht="20.25">
      <c r="B2" s="35"/>
      <c r="C2" s="26" t="str">
        <f>'Исходные данные'!B12</f>
        <v>Сопроводительный лист</v>
      </c>
      <c r="E2" s="240">
        <f>'Исходные данные'!J12</f>
        <v>4444</v>
      </c>
    </row>
    <row r="3" spans="1:22" ht="23.25">
      <c r="A3" s="751"/>
      <c r="G3" s="566" t="s">
        <v>232</v>
      </c>
      <c r="H3" s="566"/>
      <c r="I3" s="566"/>
      <c r="J3" s="566"/>
      <c r="K3" s="566"/>
      <c r="L3" s="566"/>
    </row>
    <row r="4" spans="1:22">
      <c r="G4" s="25"/>
      <c r="H4" s="25" t="s">
        <v>233</v>
      </c>
      <c r="I4" s="25"/>
      <c r="J4" s="25"/>
      <c r="K4" s="25"/>
      <c r="L4" s="25"/>
    </row>
    <row r="5" spans="1:22" ht="15">
      <c r="G5" s="567"/>
      <c r="H5" s="568"/>
      <c r="I5" s="568"/>
      <c r="J5" s="568"/>
      <c r="K5" s="568"/>
      <c r="L5" s="568"/>
    </row>
    <row r="6" spans="1:22" ht="15" thickBot="1"/>
    <row r="7" spans="1:22" s="27" customFormat="1" ht="47.25" customHeight="1" thickBot="1">
      <c r="B7" s="239" t="s">
        <v>38</v>
      </c>
      <c r="C7" s="239" t="s">
        <v>37</v>
      </c>
      <c r="D7" s="239" t="s">
        <v>36</v>
      </c>
      <c r="E7" s="239" t="s">
        <v>2</v>
      </c>
      <c r="F7" s="239" t="s">
        <v>231</v>
      </c>
      <c r="G7" s="239" t="s">
        <v>35</v>
      </c>
      <c r="H7" s="239" t="s">
        <v>34</v>
      </c>
      <c r="I7" s="239"/>
      <c r="J7" s="239" t="s">
        <v>33</v>
      </c>
      <c r="K7" s="239" t="s">
        <v>32</v>
      </c>
      <c r="L7" s="239" t="s">
        <v>31</v>
      </c>
      <c r="M7" s="239" t="s">
        <v>30</v>
      </c>
      <c r="N7" s="239" t="s">
        <v>29</v>
      </c>
      <c r="O7" s="241"/>
      <c r="P7" s="245" t="s">
        <v>235</v>
      </c>
      <c r="Q7" s="244" t="s">
        <v>236</v>
      </c>
      <c r="R7" s="245" t="s">
        <v>237</v>
      </c>
      <c r="S7" s="244" t="s">
        <v>239</v>
      </c>
      <c r="T7" s="245" t="s">
        <v>238</v>
      </c>
      <c r="U7" s="244" t="s">
        <v>240</v>
      </c>
      <c r="V7" s="244" t="s">
        <v>234</v>
      </c>
    </row>
    <row r="8" spans="1:22" ht="15">
      <c r="B8" s="302">
        <f>'Исходные данные'!B16</f>
        <v>0</v>
      </c>
      <c r="C8" s="303">
        <f>IF('Исходные данные'!X17=1,'Исходные данные'!I16,0)</f>
        <v>0</v>
      </c>
      <c r="D8" s="303">
        <f>IF('Исходные данные'!X17=1,'Исходные данные'!J16,0)</f>
        <v>0</v>
      </c>
      <c r="E8" s="303">
        <f>IF('Исходные данные'!T16="Р25",'Исходные данные'!U16,0)</f>
        <v>0</v>
      </c>
      <c r="F8" s="303">
        <f>IF(C8=0,0,IF(C8&lt;=1000,'Исходные данные'!U16,IF(C8&gt;1000,'Исходные данные'!U16*2,0)))</f>
        <v>0</v>
      </c>
      <c r="G8" s="303">
        <f>IF(C8=0,0,IF(C8&lt;=1000,'Исходные данные'!I16+76,IF(C8&gt;1000,('Исходные данные'!I16/2-40.5)+76,0)))</f>
        <v>0</v>
      </c>
      <c r="H8" s="303">
        <f>IF(D8=0,0,IF(D8&gt;1000,(D8-80)/2,IF(D8&lt;=1000,D8+76,0)))</f>
        <v>0</v>
      </c>
      <c r="I8" s="303">
        <f>ROUNDUP(J8,0)</f>
        <v>0</v>
      </c>
      <c r="J8" s="303">
        <f>ROUNDDOWN(IF(C8&lt;=1000,(D8-4)/25,IF(C8&gt;1000,(D8-4)/25,0)),0)</f>
        <v>0</v>
      </c>
      <c r="K8" s="303">
        <f>IF(C8=0,0,IF(C8&lt;=1000,C8-12,IF(C8&gt;1000,(G8-76)-12,0)))</f>
        <v>0</v>
      </c>
      <c r="L8" s="303">
        <f>IF(F8=0,0,IF(F8&gt;0,F8*2,0))</f>
        <v>0</v>
      </c>
      <c r="M8" s="304">
        <f>IF(F8=0,0,IF(F8&gt;0,F8*2,0))</f>
        <v>0</v>
      </c>
      <c r="N8" s="305">
        <f>F8*J8</f>
        <v>0</v>
      </c>
      <c r="O8" s="242"/>
      <c r="P8" s="306">
        <f>IF(K8=0,0,IF(K8&lt;=250,0.0045,IF(K8&lt;=500,0.0055,IF(K8&lt;=750,0.006,IF(K8&lt;=1000,0.007,0)))))</f>
        <v>0</v>
      </c>
      <c r="Q8" s="307">
        <f>P8*N8</f>
        <v>0</v>
      </c>
      <c r="R8" s="307">
        <f>IF(G8=0,0,IF(G8&lt;=350,0.027,IF(G8&lt;=500,0.011,IF(G8&lt;=750,0.012,IF(G8&lt;=1100,0.014,0)))))</f>
        <v>0</v>
      </c>
      <c r="S8" s="307">
        <f>R8*L8</f>
        <v>0</v>
      </c>
      <c r="T8" s="307">
        <f>IF(H8=0,0,IF(H8&lt;=350,0.027,IF(H8&lt;=500,0.011,IF(H8&lt;=750,0.012,IF(H8&lt;=1100,0.014,0)))))</f>
        <v>0</v>
      </c>
      <c r="U8" s="307">
        <f>T8*M8</f>
        <v>0</v>
      </c>
      <c r="V8" s="308">
        <f>Q8+S8+U8</f>
        <v>0</v>
      </c>
    </row>
    <row r="9" spans="1:22" ht="15">
      <c r="B9" s="474">
        <f>'Исходные данные'!B17</f>
        <v>0</v>
      </c>
      <c r="C9" s="475">
        <f>IF('Исходные данные'!X18=1,'Исходные данные'!I17,0)</f>
        <v>0</v>
      </c>
      <c r="D9" s="475">
        <f>IF('Исходные данные'!X18=1,'Исходные данные'!J17,0)</f>
        <v>0</v>
      </c>
      <c r="E9" s="475">
        <f>IF('Исходные данные'!T17="Р25",'Исходные данные'!U17,0)</f>
        <v>0</v>
      </c>
      <c r="F9" s="475">
        <f>IF(C9=0,0,IF(C9&lt;=1000,'Исходные данные'!U17,IF(C9&gt;1000,'Исходные данные'!U17*2,0)))</f>
        <v>0</v>
      </c>
      <c r="G9" s="475">
        <f>IF(C9=0,0,IF(C9&lt;=1000,'Исходные данные'!I17+76,IF(C9&gt;1000,('Исходные данные'!I17/2-40.5)+76,0)))</f>
        <v>0</v>
      </c>
      <c r="H9" s="475">
        <f t="shared" ref="H9:H22" si="0">IF(D9=0,0,IF(D9&gt;1000,(D9-80)/2,IF(D9&lt;=1000,D9+76,0)))</f>
        <v>0</v>
      </c>
      <c r="I9" s="475">
        <f t="shared" ref="I9:I22" si="1">ROUNDUP(J9,0)</f>
        <v>0</v>
      </c>
      <c r="J9" s="475">
        <f t="shared" ref="J9:J22" si="2">ROUNDDOWN(IF(C9&lt;=1000,(D9-4)/25,IF(C9&gt;1000,(D9-4)/25,0)),0)</f>
        <v>0</v>
      </c>
      <c r="K9" s="475">
        <f t="shared" ref="K9:K22" si="3">IF(C9=0,0,IF(C9&lt;=1000,C9-12,IF(C9&gt;1000,(G9-76)-12,0)))</f>
        <v>0</v>
      </c>
      <c r="L9" s="475">
        <f t="shared" ref="L9:L22" si="4">IF(F9=0,0,IF(F9&gt;0,F9*2,0))</f>
        <v>0</v>
      </c>
      <c r="M9" s="476">
        <f t="shared" ref="M9:M22" si="5">IF(F9=0,0,IF(F9&gt;0,F9*2,0))</f>
        <v>0</v>
      </c>
      <c r="N9" s="477">
        <f t="shared" ref="N9:N22" si="6">F9*J9</f>
        <v>0</v>
      </c>
      <c r="O9" s="242"/>
      <c r="P9" s="309">
        <f t="shared" ref="P9:P22" si="7">IF(K9=0,0,IF(K9&lt;=250,0.0045,IF(K9&lt;=500,0.0055,IF(K9&lt;=750,0.006,IF(K9&lt;=1000,0.007,0)))))</f>
        <v>0</v>
      </c>
      <c r="Q9" s="243">
        <f t="shared" ref="Q9:Q22" si="8">P9*N9</f>
        <v>0</v>
      </c>
      <c r="R9" s="243">
        <f t="shared" ref="R9:R22" si="9">IF(G9=0,0,IF(G9&lt;=350,0.027,IF(G9&lt;=500,0.011,IF(G9&lt;=750,0.012,IF(G9&lt;=1100,0.014,0)))))</f>
        <v>0</v>
      </c>
      <c r="S9" s="243">
        <f t="shared" ref="S9:S22" si="10">R9*L9</f>
        <v>0</v>
      </c>
      <c r="T9" s="243">
        <f t="shared" ref="T9:T22" si="11">IF(H9=0,0,IF(H9&lt;=350,0.027,IF(H9&lt;=500,0.011,IF(H9&lt;=750,0.012,IF(H9&lt;=1100,0.014,0)))))</f>
        <v>0</v>
      </c>
      <c r="U9" s="243">
        <f t="shared" ref="U9:U22" si="12">T9*M9</f>
        <v>0</v>
      </c>
      <c r="V9" s="310">
        <f t="shared" ref="V9:V22" si="13">Q9+S9+U9</f>
        <v>0</v>
      </c>
    </row>
    <row r="10" spans="1:22" ht="15">
      <c r="B10" s="474">
        <f>'Исходные данные'!B18</f>
        <v>0</v>
      </c>
      <c r="C10" s="475">
        <f>IF('Исходные данные'!X19=1,'Исходные данные'!I18,0)</f>
        <v>0</v>
      </c>
      <c r="D10" s="475">
        <f>IF('Исходные данные'!X19=1,'Исходные данные'!J18,0)</f>
        <v>0</v>
      </c>
      <c r="E10" s="475">
        <f>IF('Исходные данные'!T18="Р25",'Исходные данные'!U18,0)</f>
        <v>0</v>
      </c>
      <c r="F10" s="475">
        <f>IF(C10=0,0,IF(C10&lt;=1000,'Исходные данные'!U18,IF(C10&gt;1000,'Исходные данные'!U18*2,0)))</f>
        <v>0</v>
      </c>
      <c r="G10" s="475">
        <f>IF(C10=0,0,IF(C10&lt;=1000,'Исходные данные'!I18+76,IF(C10&gt;1000,('Исходные данные'!I18/2-40.5)+76,0)))</f>
        <v>0</v>
      </c>
      <c r="H10" s="475">
        <f t="shared" si="0"/>
        <v>0</v>
      </c>
      <c r="I10" s="475">
        <f t="shared" si="1"/>
        <v>0</v>
      </c>
      <c r="J10" s="475">
        <f t="shared" si="2"/>
        <v>0</v>
      </c>
      <c r="K10" s="475">
        <f t="shared" si="3"/>
        <v>0</v>
      </c>
      <c r="L10" s="475">
        <f t="shared" si="4"/>
        <v>0</v>
      </c>
      <c r="M10" s="476">
        <f t="shared" si="5"/>
        <v>0</v>
      </c>
      <c r="N10" s="477">
        <f t="shared" si="6"/>
        <v>0</v>
      </c>
      <c r="O10" s="242"/>
      <c r="P10" s="309">
        <f t="shared" si="7"/>
        <v>0</v>
      </c>
      <c r="Q10" s="243">
        <f t="shared" si="8"/>
        <v>0</v>
      </c>
      <c r="R10" s="243">
        <f t="shared" si="9"/>
        <v>0</v>
      </c>
      <c r="S10" s="243">
        <f t="shared" si="10"/>
        <v>0</v>
      </c>
      <c r="T10" s="243">
        <f t="shared" si="11"/>
        <v>0</v>
      </c>
      <c r="U10" s="243">
        <f t="shared" si="12"/>
        <v>0</v>
      </c>
      <c r="V10" s="310">
        <f t="shared" si="13"/>
        <v>0</v>
      </c>
    </row>
    <row r="11" spans="1:22" ht="15">
      <c r="B11" s="474">
        <f>'Исходные данные'!B19</f>
        <v>0</v>
      </c>
      <c r="C11" s="475">
        <f>IF('Исходные данные'!X20=1,'Исходные данные'!I19,0)</f>
        <v>0</v>
      </c>
      <c r="D11" s="475">
        <f>IF('Исходные данные'!X20=1,'Исходные данные'!J19,0)</f>
        <v>0</v>
      </c>
      <c r="E11" s="475">
        <f>IF('Исходные данные'!T19="Р25",'Исходные данные'!U19,0)</f>
        <v>0</v>
      </c>
      <c r="F11" s="475">
        <f>IF(C11=0,0,IF(C11&lt;=1000,'Исходные данные'!U19,IF(C11&gt;1000,'Исходные данные'!U19*2,0)))</f>
        <v>0</v>
      </c>
      <c r="G11" s="475">
        <f>IF(C11=0,0,IF(C11&lt;=1000,'Исходные данные'!I19+76,IF(C11&gt;1000,('Исходные данные'!I19/2-40.5)+76,0)))</f>
        <v>0</v>
      </c>
      <c r="H11" s="475">
        <f t="shared" si="0"/>
        <v>0</v>
      </c>
      <c r="I11" s="475">
        <f t="shared" si="1"/>
        <v>0</v>
      </c>
      <c r="J11" s="475">
        <f t="shared" si="2"/>
        <v>0</v>
      </c>
      <c r="K11" s="475">
        <f t="shared" si="3"/>
        <v>0</v>
      </c>
      <c r="L11" s="475">
        <f t="shared" si="4"/>
        <v>0</v>
      </c>
      <c r="M11" s="476">
        <f t="shared" si="5"/>
        <v>0</v>
      </c>
      <c r="N11" s="477">
        <f t="shared" si="6"/>
        <v>0</v>
      </c>
      <c r="O11" s="242"/>
      <c r="P11" s="309">
        <f t="shared" si="7"/>
        <v>0</v>
      </c>
      <c r="Q11" s="243">
        <f t="shared" si="8"/>
        <v>0</v>
      </c>
      <c r="R11" s="243">
        <f t="shared" si="9"/>
        <v>0</v>
      </c>
      <c r="S11" s="243">
        <f t="shared" si="10"/>
        <v>0</v>
      </c>
      <c r="T11" s="243">
        <f t="shared" si="11"/>
        <v>0</v>
      </c>
      <c r="U11" s="243">
        <f t="shared" si="12"/>
        <v>0</v>
      </c>
      <c r="V11" s="310">
        <f t="shared" si="13"/>
        <v>0</v>
      </c>
    </row>
    <row r="12" spans="1:22" ht="15">
      <c r="B12" s="474">
        <f>'Исходные данные'!B20</f>
        <v>0</v>
      </c>
      <c r="C12" s="475">
        <f>IF('Исходные данные'!X21=1,'Исходные данные'!I20,0)</f>
        <v>0</v>
      </c>
      <c r="D12" s="475">
        <f>IF('Исходные данные'!X21=1,'Исходные данные'!J20,0)</f>
        <v>0</v>
      </c>
      <c r="E12" s="475">
        <f>IF('Исходные данные'!T20="Р25",'Исходные данные'!U20,0)</f>
        <v>0</v>
      </c>
      <c r="F12" s="475">
        <f>IF(C12=0,0,IF(C12&lt;=1000,'Исходные данные'!U20,IF(C12&gt;1000,'Исходные данные'!U20*2,0)))</f>
        <v>0</v>
      </c>
      <c r="G12" s="475">
        <f>IF(C12=0,0,IF(C12&lt;=1000,'Исходные данные'!I20+76,IF(C12&gt;1000,('Исходные данные'!I20/2-40.5)+76,0)))</f>
        <v>0</v>
      </c>
      <c r="H12" s="475">
        <f t="shared" si="0"/>
        <v>0</v>
      </c>
      <c r="I12" s="475">
        <f t="shared" si="1"/>
        <v>0</v>
      </c>
      <c r="J12" s="475">
        <f t="shared" si="2"/>
        <v>0</v>
      </c>
      <c r="K12" s="475">
        <f t="shared" si="3"/>
        <v>0</v>
      </c>
      <c r="L12" s="475">
        <f t="shared" si="4"/>
        <v>0</v>
      </c>
      <c r="M12" s="476">
        <f t="shared" si="5"/>
        <v>0</v>
      </c>
      <c r="N12" s="477">
        <f t="shared" si="6"/>
        <v>0</v>
      </c>
      <c r="O12" s="242"/>
      <c r="P12" s="309">
        <f t="shared" si="7"/>
        <v>0</v>
      </c>
      <c r="Q12" s="243">
        <f t="shared" si="8"/>
        <v>0</v>
      </c>
      <c r="R12" s="243">
        <f t="shared" si="9"/>
        <v>0</v>
      </c>
      <c r="S12" s="243">
        <f t="shared" si="10"/>
        <v>0</v>
      </c>
      <c r="T12" s="243">
        <f t="shared" si="11"/>
        <v>0</v>
      </c>
      <c r="U12" s="243">
        <f t="shared" si="12"/>
        <v>0</v>
      </c>
      <c r="V12" s="310">
        <f t="shared" si="13"/>
        <v>0</v>
      </c>
    </row>
    <row r="13" spans="1:22" ht="15">
      <c r="B13" s="474">
        <f>'Исходные данные'!B21</f>
        <v>0</v>
      </c>
      <c r="C13" s="475">
        <f>IF('Исходные данные'!X22=1,'Исходные данные'!I21,0)</f>
        <v>0</v>
      </c>
      <c r="D13" s="475">
        <f>IF('Исходные данные'!X22=1,'Исходные данные'!J21,0)</f>
        <v>0</v>
      </c>
      <c r="E13" s="475">
        <f>IF('Исходные данные'!T21="Р25",'Исходные данные'!U21,0)</f>
        <v>0</v>
      </c>
      <c r="F13" s="475">
        <f>IF(C13=0,0,IF(C13&lt;=1000,'Исходные данные'!U21,IF(C13&gt;1000,'Исходные данные'!U21*2,0)))</f>
        <v>0</v>
      </c>
      <c r="G13" s="475">
        <f>IF(C13=0,0,IF(C13&lt;=1000,'Исходные данные'!I21+76,IF(C13&gt;1000,('Исходные данные'!I21/2-40.5)+76,0)))</f>
        <v>0</v>
      </c>
      <c r="H13" s="475">
        <f t="shared" si="0"/>
        <v>0</v>
      </c>
      <c r="I13" s="475">
        <f t="shared" si="1"/>
        <v>0</v>
      </c>
      <c r="J13" s="475">
        <f t="shared" si="2"/>
        <v>0</v>
      </c>
      <c r="K13" s="475">
        <f t="shared" si="3"/>
        <v>0</v>
      </c>
      <c r="L13" s="475">
        <f t="shared" si="4"/>
        <v>0</v>
      </c>
      <c r="M13" s="476">
        <f t="shared" si="5"/>
        <v>0</v>
      </c>
      <c r="N13" s="477">
        <f t="shared" si="6"/>
        <v>0</v>
      </c>
      <c r="O13" s="242"/>
      <c r="P13" s="309">
        <f t="shared" si="7"/>
        <v>0</v>
      </c>
      <c r="Q13" s="243">
        <f t="shared" si="8"/>
        <v>0</v>
      </c>
      <c r="R13" s="243">
        <f t="shared" si="9"/>
        <v>0</v>
      </c>
      <c r="S13" s="243">
        <f t="shared" si="10"/>
        <v>0</v>
      </c>
      <c r="T13" s="243">
        <f t="shared" si="11"/>
        <v>0</v>
      </c>
      <c r="U13" s="243">
        <f t="shared" si="12"/>
        <v>0</v>
      </c>
      <c r="V13" s="310">
        <f t="shared" si="13"/>
        <v>0</v>
      </c>
    </row>
    <row r="14" spans="1:22" ht="15">
      <c r="B14" s="474">
        <f>'Исходные данные'!B22</f>
        <v>0</v>
      </c>
      <c r="C14" s="475">
        <f>IF('Исходные данные'!X23=1,'Исходные данные'!I22,0)</f>
        <v>0</v>
      </c>
      <c r="D14" s="475">
        <f>IF('Исходные данные'!X23=1,'Исходные данные'!J22,0)</f>
        <v>0</v>
      </c>
      <c r="E14" s="475">
        <f>IF('Исходные данные'!T22="Р25",'Исходные данные'!U22,0)</f>
        <v>0</v>
      </c>
      <c r="F14" s="475">
        <f>IF(C14=0,0,IF(C14&lt;=1000,'Исходные данные'!U22,IF(C14&gt;1000,'Исходные данные'!U22*2,0)))</f>
        <v>0</v>
      </c>
      <c r="G14" s="475">
        <f>IF(C14=0,0,IF(C14&lt;=1000,'Исходные данные'!I22+76,IF(C14&gt;1000,('Исходные данные'!I22/2-40.5)+76,0)))</f>
        <v>0</v>
      </c>
      <c r="H14" s="475">
        <f t="shared" si="0"/>
        <v>0</v>
      </c>
      <c r="I14" s="475">
        <f t="shared" si="1"/>
        <v>0</v>
      </c>
      <c r="J14" s="475">
        <f t="shared" si="2"/>
        <v>0</v>
      </c>
      <c r="K14" s="475">
        <f t="shared" si="3"/>
        <v>0</v>
      </c>
      <c r="L14" s="475">
        <f t="shared" si="4"/>
        <v>0</v>
      </c>
      <c r="M14" s="476">
        <f t="shared" si="5"/>
        <v>0</v>
      </c>
      <c r="N14" s="477">
        <f t="shared" si="6"/>
        <v>0</v>
      </c>
      <c r="O14" s="242"/>
      <c r="P14" s="309">
        <f t="shared" si="7"/>
        <v>0</v>
      </c>
      <c r="Q14" s="243">
        <f t="shared" si="8"/>
        <v>0</v>
      </c>
      <c r="R14" s="243">
        <f t="shared" si="9"/>
        <v>0</v>
      </c>
      <c r="S14" s="243">
        <f t="shared" si="10"/>
        <v>0</v>
      </c>
      <c r="T14" s="243">
        <f t="shared" si="11"/>
        <v>0</v>
      </c>
      <c r="U14" s="243">
        <f t="shared" si="12"/>
        <v>0</v>
      </c>
      <c r="V14" s="310">
        <f t="shared" si="13"/>
        <v>0</v>
      </c>
    </row>
    <row r="15" spans="1:22" ht="15">
      <c r="B15" s="474">
        <f>'Исходные данные'!B23</f>
        <v>0</v>
      </c>
      <c r="C15" s="475">
        <f>IF('Исходные данные'!X24=1,'Исходные данные'!I23,0)</f>
        <v>0</v>
      </c>
      <c r="D15" s="475">
        <f>IF('Исходные данные'!X24=1,'Исходные данные'!J23,0)</f>
        <v>0</v>
      </c>
      <c r="E15" s="475">
        <f>IF('Исходные данные'!T23="Р25",'Исходные данные'!U23,0)</f>
        <v>0</v>
      </c>
      <c r="F15" s="475">
        <f>IF(C15=0,0,IF(C15&lt;=1000,'Исходные данные'!U23,IF(C15&gt;1000,'Исходные данные'!U23*2,0)))</f>
        <v>0</v>
      </c>
      <c r="G15" s="475">
        <f>IF(C15=0,0,IF(C15&lt;=1000,'Исходные данные'!I23+76,IF(C15&gt;1000,('Исходные данные'!I23/2-40.5)+76,0)))</f>
        <v>0</v>
      </c>
      <c r="H15" s="475">
        <f t="shared" si="0"/>
        <v>0</v>
      </c>
      <c r="I15" s="475">
        <f t="shared" si="1"/>
        <v>0</v>
      </c>
      <c r="J15" s="475">
        <f t="shared" si="2"/>
        <v>0</v>
      </c>
      <c r="K15" s="475">
        <f t="shared" si="3"/>
        <v>0</v>
      </c>
      <c r="L15" s="475">
        <f t="shared" si="4"/>
        <v>0</v>
      </c>
      <c r="M15" s="476">
        <f t="shared" si="5"/>
        <v>0</v>
      </c>
      <c r="N15" s="477">
        <f t="shared" si="6"/>
        <v>0</v>
      </c>
      <c r="O15" s="242"/>
      <c r="P15" s="309">
        <f t="shared" si="7"/>
        <v>0</v>
      </c>
      <c r="Q15" s="243">
        <f t="shared" si="8"/>
        <v>0</v>
      </c>
      <c r="R15" s="243">
        <f t="shared" si="9"/>
        <v>0</v>
      </c>
      <c r="S15" s="243">
        <f t="shared" si="10"/>
        <v>0</v>
      </c>
      <c r="T15" s="243">
        <f t="shared" si="11"/>
        <v>0</v>
      </c>
      <c r="U15" s="243">
        <f t="shared" si="12"/>
        <v>0</v>
      </c>
      <c r="V15" s="310">
        <f t="shared" si="13"/>
        <v>0</v>
      </c>
    </row>
    <row r="16" spans="1:22" ht="15">
      <c r="B16" s="474">
        <f>'Исходные данные'!B24</f>
        <v>0</v>
      </c>
      <c r="C16" s="475">
        <f>IF('Исходные данные'!X25=1,'Исходные данные'!I24,0)</f>
        <v>0</v>
      </c>
      <c r="D16" s="475">
        <f>IF('Исходные данные'!X25=1,'Исходные данные'!J24,0)</f>
        <v>0</v>
      </c>
      <c r="E16" s="475">
        <f>IF('Исходные данные'!T24="Р25",'Исходные данные'!U24,0)</f>
        <v>0</v>
      </c>
      <c r="F16" s="475">
        <f>IF(C16=0,0,IF(C16&lt;=1000,'Исходные данные'!U24,IF(C16&gt;1000,'Исходные данные'!U24*2,0)))</f>
        <v>0</v>
      </c>
      <c r="G16" s="475">
        <f>IF(C16=0,0,IF(C16&lt;=1000,'Исходные данные'!I24+76,IF(C16&gt;1000,('Исходные данные'!I24/2-40.5)+76,0)))</f>
        <v>0</v>
      </c>
      <c r="H16" s="475">
        <f t="shared" si="0"/>
        <v>0</v>
      </c>
      <c r="I16" s="475">
        <f t="shared" si="1"/>
        <v>0</v>
      </c>
      <c r="J16" s="475">
        <f t="shared" si="2"/>
        <v>0</v>
      </c>
      <c r="K16" s="475">
        <f t="shared" si="3"/>
        <v>0</v>
      </c>
      <c r="L16" s="475">
        <f t="shared" si="4"/>
        <v>0</v>
      </c>
      <c r="M16" s="476">
        <f t="shared" si="5"/>
        <v>0</v>
      </c>
      <c r="N16" s="477">
        <f t="shared" si="6"/>
        <v>0</v>
      </c>
      <c r="O16" s="242"/>
      <c r="P16" s="309">
        <f t="shared" si="7"/>
        <v>0</v>
      </c>
      <c r="Q16" s="243">
        <f t="shared" si="8"/>
        <v>0</v>
      </c>
      <c r="R16" s="243">
        <f t="shared" si="9"/>
        <v>0</v>
      </c>
      <c r="S16" s="243">
        <f t="shared" si="10"/>
        <v>0</v>
      </c>
      <c r="T16" s="243">
        <f t="shared" si="11"/>
        <v>0</v>
      </c>
      <c r="U16" s="243">
        <f t="shared" si="12"/>
        <v>0</v>
      </c>
      <c r="V16" s="310">
        <f t="shared" si="13"/>
        <v>0</v>
      </c>
    </row>
    <row r="17" spans="2:22" ht="15">
      <c r="B17" s="474">
        <f>'Исходные данные'!B25</f>
        <v>0</v>
      </c>
      <c r="C17" s="475">
        <f>IF('Исходные данные'!X26=1,'Исходные данные'!I25,0)</f>
        <v>0</v>
      </c>
      <c r="D17" s="475">
        <f>IF('Исходные данные'!X26=1,'Исходные данные'!J25,0)</f>
        <v>0</v>
      </c>
      <c r="E17" s="475">
        <f>IF('Исходные данные'!T25="Р25",'Исходные данные'!U25,0)</f>
        <v>0</v>
      </c>
      <c r="F17" s="475">
        <f>IF(C17=0,0,IF(C17&lt;=1000,'Исходные данные'!U25,IF(C17&gt;1000,'Исходные данные'!U25*2,0)))</f>
        <v>0</v>
      </c>
      <c r="G17" s="475">
        <f>IF(C17=0,0,IF(C17&lt;=1000,'Исходные данные'!I25+76,IF(C17&gt;1000,('Исходные данные'!I25/2-40.5)+76,0)))</f>
        <v>0</v>
      </c>
      <c r="H17" s="475">
        <f t="shared" si="0"/>
        <v>0</v>
      </c>
      <c r="I17" s="475">
        <f t="shared" si="1"/>
        <v>0</v>
      </c>
      <c r="J17" s="475">
        <f t="shared" si="2"/>
        <v>0</v>
      </c>
      <c r="K17" s="475">
        <f t="shared" si="3"/>
        <v>0</v>
      </c>
      <c r="L17" s="475">
        <f t="shared" si="4"/>
        <v>0</v>
      </c>
      <c r="M17" s="476">
        <f t="shared" si="5"/>
        <v>0</v>
      </c>
      <c r="N17" s="477">
        <f t="shared" si="6"/>
        <v>0</v>
      </c>
      <c r="O17" s="242"/>
      <c r="P17" s="309">
        <f t="shared" si="7"/>
        <v>0</v>
      </c>
      <c r="Q17" s="243">
        <f t="shared" si="8"/>
        <v>0</v>
      </c>
      <c r="R17" s="243">
        <f t="shared" si="9"/>
        <v>0</v>
      </c>
      <c r="S17" s="243">
        <f t="shared" si="10"/>
        <v>0</v>
      </c>
      <c r="T17" s="243">
        <f t="shared" si="11"/>
        <v>0</v>
      </c>
      <c r="U17" s="243">
        <f t="shared" si="12"/>
        <v>0</v>
      </c>
      <c r="V17" s="310">
        <f t="shared" si="13"/>
        <v>0</v>
      </c>
    </row>
    <row r="18" spans="2:22" ht="15">
      <c r="B18" s="474">
        <f>'Исходные данные'!B26</f>
        <v>0</v>
      </c>
      <c r="C18" s="475">
        <f>IF('Исходные данные'!X27=1,'Исходные данные'!I26,0)</f>
        <v>0</v>
      </c>
      <c r="D18" s="475">
        <f>IF('Исходные данные'!X27=1,'Исходные данные'!J26,0)</f>
        <v>0</v>
      </c>
      <c r="E18" s="475">
        <f>IF('Исходные данные'!T26="Р25",'Исходные данные'!U26,0)</f>
        <v>0</v>
      </c>
      <c r="F18" s="475">
        <f>IF(C18=0,0,IF(C18&lt;=1000,'Исходные данные'!U26,IF(C18&gt;1000,'Исходные данные'!U26*2,0)))</f>
        <v>0</v>
      </c>
      <c r="G18" s="475">
        <f>IF(C18=0,0,IF(C18&lt;=1000,'Исходные данные'!I26+76,IF(C18&gt;1000,('Исходные данные'!I26/2-40.5)+76,0)))</f>
        <v>0</v>
      </c>
      <c r="H18" s="475">
        <f t="shared" si="0"/>
        <v>0</v>
      </c>
      <c r="I18" s="475">
        <f t="shared" si="1"/>
        <v>0</v>
      </c>
      <c r="J18" s="475">
        <f t="shared" si="2"/>
        <v>0</v>
      </c>
      <c r="K18" s="475">
        <f t="shared" si="3"/>
        <v>0</v>
      </c>
      <c r="L18" s="475">
        <f t="shared" si="4"/>
        <v>0</v>
      </c>
      <c r="M18" s="476">
        <f t="shared" si="5"/>
        <v>0</v>
      </c>
      <c r="N18" s="477">
        <f t="shared" si="6"/>
        <v>0</v>
      </c>
      <c r="O18" s="242"/>
      <c r="P18" s="309">
        <f t="shared" si="7"/>
        <v>0</v>
      </c>
      <c r="Q18" s="243">
        <f t="shared" si="8"/>
        <v>0</v>
      </c>
      <c r="R18" s="243">
        <f t="shared" si="9"/>
        <v>0</v>
      </c>
      <c r="S18" s="243">
        <f t="shared" si="10"/>
        <v>0</v>
      </c>
      <c r="T18" s="243">
        <f t="shared" si="11"/>
        <v>0</v>
      </c>
      <c r="U18" s="243">
        <f t="shared" si="12"/>
        <v>0</v>
      </c>
      <c r="V18" s="310">
        <f t="shared" si="13"/>
        <v>0</v>
      </c>
    </row>
    <row r="19" spans="2:22" ht="15">
      <c r="B19" s="474">
        <f>'Исходные данные'!B27</f>
        <v>0</v>
      </c>
      <c r="C19" s="475">
        <f>IF('Исходные данные'!X28=1,'Исходные данные'!I27,0)</f>
        <v>0</v>
      </c>
      <c r="D19" s="475">
        <f>IF('Исходные данные'!X28=1,'Исходные данные'!J27,0)</f>
        <v>0</v>
      </c>
      <c r="E19" s="475">
        <f>IF('Исходные данные'!T27="Р25",'Исходные данные'!U27,0)</f>
        <v>0</v>
      </c>
      <c r="F19" s="475">
        <f>IF(C19=0,0,IF(C19&lt;=1000,'Исходные данные'!U27,IF(C19&gt;1000,'Исходные данные'!U27*2,0)))</f>
        <v>0</v>
      </c>
      <c r="G19" s="475">
        <f>IF(C19=0,0,IF(C19&lt;=1000,'Исходные данные'!I27+76,IF(C19&gt;1000,('Исходные данные'!I27/2-40.5)+76,0)))</f>
        <v>0</v>
      </c>
      <c r="H19" s="475">
        <f t="shared" si="0"/>
        <v>0</v>
      </c>
      <c r="I19" s="475">
        <f t="shared" si="1"/>
        <v>0</v>
      </c>
      <c r="J19" s="475">
        <f t="shared" si="2"/>
        <v>0</v>
      </c>
      <c r="K19" s="475">
        <f t="shared" si="3"/>
        <v>0</v>
      </c>
      <c r="L19" s="475">
        <f t="shared" si="4"/>
        <v>0</v>
      </c>
      <c r="M19" s="476">
        <f t="shared" si="5"/>
        <v>0</v>
      </c>
      <c r="N19" s="477">
        <f t="shared" si="6"/>
        <v>0</v>
      </c>
      <c r="O19" s="242"/>
      <c r="P19" s="309">
        <f t="shared" si="7"/>
        <v>0</v>
      </c>
      <c r="Q19" s="243">
        <f t="shared" si="8"/>
        <v>0</v>
      </c>
      <c r="R19" s="243">
        <f t="shared" si="9"/>
        <v>0</v>
      </c>
      <c r="S19" s="243">
        <f t="shared" si="10"/>
        <v>0</v>
      </c>
      <c r="T19" s="243">
        <f t="shared" si="11"/>
        <v>0</v>
      </c>
      <c r="U19" s="243">
        <f t="shared" si="12"/>
        <v>0</v>
      </c>
      <c r="V19" s="310">
        <f t="shared" si="13"/>
        <v>0</v>
      </c>
    </row>
    <row r="20" spans="2:22" ht="15">
      <c r="B20" s="474">
        <f>'Исходные данные'!B28</f>
        <v>0</v>
      </c>
      <c r="C20" s="475">
        <f>IF('Исходные данные'!X29=1,'Исходные данные'!I28,0)</f>
        <v>0</v>
      </c>
      <c r="D20" s="475">
        <f>IF('Исходные данные'!X29=1,'Исходные данные'!J28,0)</f>
        <v>0</v>
      </c>
      <c r="E20" s="475">
        <f>IF('Исходные данные'!T28="Р25",'Исходные данные'!U28,0)</f>
        <v>0</v>
      </c>
      <c r="F20" s="475">
        <f>IF(C20=0,0,IF(C20&lt;=1000,'Исходные данные'!U28,IF(C20&gt;1000,'Исходные данные'!U28*2,0)))</f>
        <v>0</v>
      </c>
      <c r="G20" s="475">
        <f>IF(C20=0,0,IF(C20&lt;=1000,'Исходные данные'!I28+76,IF(C20&gt;1000,('Исходные данные'!I28/2-40.5)+76,0)))</f>
        <v>0</v>
      </c>
      <c r="H20" s="475">
        <f t="shared" si="0"/>
        <v>0</v>
      </c>
      <c r="I20" s="475">
        <f t="shared" si="1"/>
        <v>0</v>
      </c>
      <c r="J20" s="475">
        <f t="shared" si="2"/>
        <v>0</v>
      </c>
      <c r="K20" s="475">
        <f t="shared" si="3"/>
        <v>0</v>
      </c>
      <c r="L20" s="475">
        <f t="shared" si="4"/>
        <v>0</v>
      </c>
      <c r="M20" s="476">
        <f t="shared" si="5"/>
        <v>0</v>
      </c>
      <c r="N20" s="477">
        <f t="shared" si="6"/>
        <v>0</v>
      </c>
      <c r="O20" s="242"/>
      <c r="P20" s="309">
        <f t="shared" si="7"/>
        <v>0</v>
      </c>
      <c r="Q20" s="243">
        <f t="shared" si="8"/>
        <v>0</v>
      </c>
      <c r="R20" s="243">
        <f t="shared" si="9"/>
        <v>0</v>
      </c>
      <c r="S20" s="243">
        <f t="shared" si="10"/>
        <v>0</v>
      </c>
      <c r="T20" s="243">
        <f t="shared" si="11"/>
        <v>0</v>
      </c>
      <c r="U20" s="243">
        <f t="shared" si="12"/>
        <v>0</v>
      </c>
      <c r="V20" s="310">
        <f t="shared" si="13"/>
        <v>0</v>
      </c>
    </row>
    <row r="21" spans="2:22" ht="15">
      <c r="B21" s="474">
        <f>'Исходные данные'!B29</f>
        <v>0</v>
      </c>
      <c r="C21" s="475">
        <f>IF('Исходные данные'!X30=1,'Исходные данные'!I29,0)</f>
        <v>0</v>
      </c>
      <c r="D21" s="475">
        <f>IF('Исходные данные'!X30=1,'Исходные данные'!J29,0)</f>
        <v>0</v>
      </c>
      <c r="E21" s="475">
        <f>IF('Исходные данные'!T29="Р25",'Исходные данные'!U29,0)</f>
        <v>0</v>
      </c>
      <c r="F21" s="475">
        <f>IF(C21=0,0,IF(C21&lt;=1000,'Исходные данные'!U29,IF(C21&gt;1000,'Исходные данные'!U29*2,0)))</f>
        <v>0</v>
      </c>
      <c r="G21" s="475">
        <f>IF(C21=0,0,IF(C21&lt;=1000,'Исходные данные'!I29+76,IF(C21&gt;1000,('Исходные данные'!I29/2-40.5)+76,0)))</f>
        <v>0</v>
      </c>
      <c r="H21" s="475">
        <f t="shared" si="0"/>
        <v>0</v>
      </c>
      <c r="I21" s="475">
        <f t="shared" si="1"/>
        <v>0</v>
      </c>
      <c r="J21" s="475">
        <f t="shared" si="2"/>
        <v>0</v>
      </c>
      <c r="K21" s="475">
        <f t="shared" si="3"/>
        <v>0</v>
      </c>
      <c r="L21" s="475">
        <f t="shared" si="4"/>
        <v>0</v>
      </c>
      <c r="M21" s="476">
        <f t="shared" si="5"/>
        <v>0</v>
      </c>
      <c r="N21" s="477">
        <f t="shared" si="6"/>
        <v>0</v>
      </c>
      <c r="O21" s="242"/>
      <c r="P21" s="309">
        <f t="shared" si="7"/>
        <v>0</v>
      </c>
      <c r="Q21" s="243">
        <f t="shared" si="8"/>
        <v>0</v>
      </c>
      <c r="R21" s="243">
        <f t="shared" si="9"/>
        <v>0</v>
      </c>
      <c r="S21" s="243">
        <f t="shared" si="10"/>
        <v>0</v>
      </c>
      <c r="T21" s="243">
        <f t="shared" si="11"/>
        <v>0</v>
      </c>
      <c r="U21" s="243">
        <f t="shared" si="12"/>
        <v>0</v>
      </c>
      <c r="V21" s="310">
        <f t="shared" si="13"/>
        <v>0</v>
      </c>
    </row>
    <row r="22" spans="2:22" ht="15.75" thickBot="1">
      <c r="B22" s="478">
        <f>'Исходные данные'!B30</f>
        <v>0</v>
      </c>
      <c r="C22" s="479">
        <f>IF('Исходные данные'!X31=1,'Исходные данные'!I30,0)</f>
        <v>0</v>
      </c>
      <c r="D22" s="479">
        <f>IF('Исходные данные'!X31=1,'Исходные данные'!J30,0)</f>
        <v>0</v>
      </c>
      <c r="E22" s="479">
        <f>IF('Исходные данные'!T30="Р25",'Исходные данные'!U30,0)</f>
        <v>0</v>
      </c>
      <c r="F22" s="479">
        <f>IF(C22=0,0,IF(C22&lt;=1000,'Исходные данные'!U30,IF(C22&gt;1000,'Исходные данные'!U30*2,0)))</f>
        <v>0</v>
      </c>
      <c r="G22" s="479">
        <f>IF(C22=0,0,IF(C22&lt;=1000,'Исходные данные'!I30+76,IF(C22&gt;1000,('Исходные данные'!I30/2-40.5)+76,0)))</f>
        <v>0</v>
      </c>
      <c r="H22" s="479">
        <f t="shared" si="0"/>
        <v>0</v>
      </c>
      <c r="I22" s="479">
        <f t="shared" si="1"/>
        <v>0</v>
      </c>
      <c r="J22" s="479">
        <f t="shared" si="2"/>
        <v>0</v>
      </c>
      <c r="K22" s="479">
        <f t="shared" si="3"/>
        <v>0</v>
      </c>
      <c r="L22" s="479">
        <f t="shared" si="4"/>
        <v>0</v>
      </c>
      <c r="M22" s="480">
        <f t="shared" si="5"/>
        <v>0</v>
      </c>
      <c r="N22" s="481">
        <f t="shared" si="6"/>
        <v>0</v>
      </c>
      <c r="O22" s="242"/>
      <c r="P22" s="311">
        <f t="shared" si="7"/>
        <v>0</v>
      </c>
      <c r="Q22" s="312">
        <f t="shared" si="8"/>
        <v>0</v>
      </c>
      <c r="R22" s="312">
        <f t="shared" si="9"/>
        <v>0</v>
      </c>
      <c r="S22" s="312">
        <f t="shared" si="10"/>
        <v>0</v>
      </c>
      <c r="T22" s="312">
        <f t="shared" si="11"/>
        <v>0</v>
      </c>
      <c r="U22" s="312">
        <f t="shared" si="12"/>
        <v>0</v>
      </c>
      <c r="V22" s="313">
        <f t="shared" si="13"/>
        <v>0</v>
      </c>
    </row>
    <row r="23" spans="2:22">
      <c r="V23" s="25">
        <f>SUM(V8:V22)</f>
        <v>0</v>
      </c>
    </row>
    <row r="26" spans="2:22">
      <c r="B26" s="25" t="s">
        <v>46</v>
      </c>
      <c r="C26" s="26" t="s">
        <v>41</v>
      </c>
      <c r="D26" s="26" t="s">
        <v>47</v>
      </c>
      <c r="G26" s="26">
        <f>V23</f>
        <v>0</v>
      </c>
    </row>
    <row r="27" spans="2:22">
      <c r="C27" s="25"/>
      <c r="D27" s="25"/>
      <c r="E27" s="25"/>
      <c r="F27" s="25"/>
      <c r="G27" s="25"/>
      <c r="H27" s="25"/>
      <c r="I27" s="25"/>
      <c r="J27" s="25"/>
      <c r="K27" s="569"/>
      <c r="L27" s="569"/>
      <c r="M27" s="569"/>
      <c r="N27" s="569"/>
      <c r="O27" s="238"/>
    </row>
    <row r="28" spans="2:22">
      <c r="K28" s="48"/>
      <c r="L28" s="48"/>
      <c r="M28" s="48"/>
      <c r="N28" s="48"/>
      <c r="O28" s="238"/>
    </row>
    <row r="29" spans="2:22" ht="15">
      <c r="B29" s="45"/>
      <c r="C29" s="45"/>
      <c r="D29" s="45"/>
      <c r="E29" s="45"/>
      <c r="F29" s="45"/>
      <c r="G29" s="45"/>
      <c r="H29" s="45"/>
      <c r="I29" s="45"/>
      <c r="J29" s="45"/>
      <c r="K29" s="47"/>
    </row>
    <row r="30" spans="2:22" ht="21">
      <c r="B30" s="46" t="s">
        <v>61</v>
      </c>
      <c r="C30" s="46"/>
      <c r="D30" s="46"/>
      <c r="E30" s="46"/>
      <c r="F30" s="46"/>
      <c r="G30" s="46"/>
      <c r="H30" s="20"/>
      <c r="I30" s="20"/>
      <c r="J30" s="20"/>
      <c r="K30" s="20"/>
    </row>
    <row r="31" spans="2:22" ht="15"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2:22" ht="18.75">
      <c r="B32" s="40" t="s">
        <v>70</v>
      </c>
      <c r="C32" s="40"/>
      <c r="D32" s="40"/>
      <c r="E32" s="40">
        <f>'Исходные данные'!J12</f>
        <v>4444</v>
      </c>
      <c r="F32" s="40"/>
      <c r="G32" s="20"/>
      <c r="H32" s="570"/>
      <c r="I32" s="570"/>
      <c r="J32" s="570"/>
      <c r="K32" s="20"/>
    </row>
    <row r="33" spans="2:11" ht="15">
      <c r="B33" s="20" t="s">
        <v>71</v>
      </c>
      <c r="C33" s="20"/>
      <c r="D33" s="20"/>
      <c r="E33" s="20"/>
      <c r="F33" s="20"/>
      <c r="G33" s="20"/>
      <c r="H33" s="20"/>
      <c r="I33" s="20"/>
      <c r="J33" s="20"/>
      <c r="K33" s="20"/>
    </row>
    <row r="34" spans="2:11" ht="15">
      <c r="B34" s="20" t="s">
        <v>62</v>
      </c>
      <c r="C34" s="20"/>
      <c r="D34" s="20"/>
      <c r="E34" s="20"/>
      <c r="F34" s="20"/>
      <c r="G34" s="20"/>
      <c r="H34" s="20"/>
      <c r="I34" s="20"/>
      <c r="J34" s="20"/>
      <c r="K34" s="20"/>
    </row>
    <row r="35" spans="2:11" ht="15"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2:11" ht="15">
      <c r="B36" s="20" t="s">
        <v>65</v>
      </c>
      <c r="C36" s="20" t="s">
        <v>45</v>
      </c>
      <c r="D36" s="20"/>
      <c r="E36" s="20"/>
      <c r="F36" s="20"/>
      <c r="G36" s="20" t="s">
        <v>129</v>
      </c>
      <c r="H36" s="20"/>
      <c r="I36" s="20"/>
      <c r="J36" s="20"/>
      <c r="K36" s="20"/>
    </row>
    <row r="37" spans="2:11" ht="15"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2:11" ht="15"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2:11" ht="15">
      <c r="B39" s="20" t="s">
        <v>64</v>
      </c>
      <c r="C39" s="20"/>
      <c r="D39" s="20"/>
      <c r="E39" s="20"/>
      <c r="F39" s="20"/>
      <c r="G39" s="20" t="s">
        <v>130</v>
      </c>
      <c r="H39" s="20"/>
      <c r="I39" s="20"/>
      <c r="J39" s="20"/>
      <c r="K39" s="20"/>
    </row>
    <row r="40" spans="2:11" ht="15">
      <c r="B40" s="20"/>
      <c r="C40" s="20"/>
      <c r="D40" s="20"/>
      <c r="E40" s="20"/>
      <c r="F40" s="20"/>
      <c r="G40" s="20"/>
      <c r="H40" s="20"/>
      <c r="I40" s="20"/>
      <c r="J40" s="20"/>
      <c r="K40" s="20"/>
    </row>
  </sheetData>
  <mergeCells count="5">
    <mergeCell ref="G3:L3"/>
    <mergeCell ref="G5:L5"/>
    <mergeCell ref="K27:L27"/>
    <mergeCell ref="M27:N27"/>
    <mergeCell ref="H32:J32"/>
  </mergeCells>
  <pageMargins left="0" right="0" top="0.74803149606299213" bottom="0.74803149606299213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Исходные данные</vt:lpstr>
      <vt:lpstr>корпус</vt:lpstr>
      <vt:lpstr>МРП</vt:lpstr>
      <vt:lpstr>Сетка</vt:lpstr>
      <vt:lpstr>Ножницы</vt:lpstr>
      <vt:lpstr>Ножницы (3)</vt:lpstr>
      <vt:lpstr>Ножницы (4)</vt:lpstr>
      <vt:lpstr>Ножницы (2)</vt:lpstr>
      <vt:lpstr>р 25</vt:lpstr>
      <vt:lpstr>Трудоемк</vt:lpstr>
      <vt:lpstr>Задание на ТРУМПФ</vt:lpstr>
      <vt:lpstr>Задание на гибку</vt:lpstr>
      <vt:lpstr>Ось</vt:lpstr>
      <vt:lpstr>Задание на ножницы</vt:lpstr>
      <vt:lpstr>Комплектовочный лист</vt:lpstr>
      <vt:lpstr>нормы</vt:lpstr>
      <vt:lpstr>'Задание на гибку'!Область_печати</vt:lpstr>
      <vt:lpstr>'Задание на ножницы'!Область_печати</vt:lpstr>
      <vt:lpstr>'Задание на ТРУМПФ'!Область_печати</vt:lpstr>
      <vt:lpstr>'Исходные данные'!Область_печати</vt:lpstr>
      <vt:lpstr>'Комплектовочный лист'!Область_печати</vt:lpstr>
      <vt:lpstr>корпус!Область_печати</vt:lpstr>
      <vt:lpstr>Ножницы!Область_печати</vt:lpstr>
      <vt:lpstr>'Ножницы (2)'!Область_печати</vt:lpstr>
      <vt:lpstr>'Ножницы (3)'!Область_печати</vt:lpstr>
      <vt:lpstr>'Ножницы (4)'!Область_печати</vt:lpstr>
      <vt:lpstr>Ось!Область_печати</vt:lpstr>
      <vt:lpstr>'р 25'!Область_печати</vt:lpstr>
      <vt:lpstr>Сетка!Область_печати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fart</dc:creator>
  <cp:lastModifiedBy>Имаев В.Г.</cp:lastModifiedBy>
  <cp:lastPrinted>2014-06-25T05:06:27Z</cp:lastPrinted>
  <dcterms:created xsi:type="dcterms:W3CDTF">2012-04-12T05:55:58Z</dcterms:created>
  <dcterms:modified xsi:type="dcterms:W3CDTF">2014-06-25T05:11:52Z</dcterms:modified>
</cp:coreProperties>
</file>